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3065"/>
  </bookViews>
  <sheets>
    <sheet name="ComprehensiveStrategicFinances" sheetId="102" r:id="rId1"/>
    <sheet name="Strategic Plan Summary" sheetId="93" r:id="rId2"/>
    <sheet name="Drop Down Options" sheetId="36" state="hidden" r:id="rId3"/>
  </sheet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1">'Strategic Plan Summary'!$14:$16</definedName>
    <definedName name="TypeofMeasure">'Drop Down Options'!$A$31:$A$34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T281" i="102" l="1"/>
  <c r="CS281" i="102"/>
  <c r="CR281" i="102"/>
  <c r="CQ281" i="102"/>
  <c r="CP281" i="102"/>
  <c r="CO281" i="102"/>
  <c r="CN281" i="102"/>
  <c r="CM281" i="102"/>
  <c r="CL281" i="102"/>
  <c r="CK281" i="102"/>
  <c r="CJ281" i="102"/>
  <c r="CI281" i="102"/>
  <c r="CH281" i="102"/>
  <c r="CG281" i="102"/>
  <c r="CF281" i="102"/>
  <c r="CE281" i="102"/>
  <c r="CD281" i="102"/>
  <c r="CC281" i="102"/>
  <c r="CB281" i="102"/>
  <c r="CA281" i="102"/>
  <c r="BY281" i="102"/>
  <c r="BX281" i="102"/>
  <c r="BW281" i="102"/>
  <c r="BL281" i="102"/>
  <c r="BJ281" i="102"/>
  <c r="BH281" i="102"/>
  <c r="BG281" i="102"/>
  <c r="BF281" i="102"/>
  <c r="BD281" i="102"/>
  <c r="BC281" i="102"/>
  <c r="BB281" i="102"/>
  <c r="BA281" i="102"/>
  <c r="AZ281" i="102"/>
  <c r="AY281" i="102"/>
  <c r="AX281" i="102"/>
  <c r="AW281" i="102"/>
  <c r="AS281" i="102"/>
  <c r="AR281" i="102"/>
  <c r="AQ281" i="102"/>
  <c r="AP281" i="102"/>
  <c r="AO281" i="102"/>
  <c r="AN281" i="102"/>
  <c r="AM281" i="102"/>
  <c r="AL281" i="102"/>
  <c r="AK281" i="102"/>
  <c r="AI281" i="102"/>
  <c r="AH281" i="102"/>
  <c r="AG281" i="102"/>
  <c r="AE281" i="102"/>
  <c r="AB281" i="102"/>
  <c r="AA281" i="102"/>
  <c r="Z281" i="102"/>
  <c r="X281" i="102"/>
  <c r="W281" i="102"/>
  <c r="V281" i="102"/>
  <c r="U281" i="102"/>
  <c r="T281" i="102"/>
  <c r="S281" i="102"/>
  <c r="Q281" i="102"/>
  <c r="P281" i="102"/>
  <c r="O281" i="102"/>
  <c r="N281" i="102"/>
  <c r="CU281" i="102"/>
  <c r="BZ281" i="102"/>
  <c r="BV281" i="102"/>
  <c r="BU281" i="102"/>
  <c r="BT281" i="102"/>
  <c r="BS281" i="102"/>
  <c r="BR281" i="102"/>
  <c r="BQ281" i="102"/>
  <c r="BP281" i="102"/>
  <c r="BO281" i="102"/>
  <c r="BN281" i="102"/>
  <c r="BM281" i="102"/>
  <c r="BK281" i="102"/>
  <c r="BI281" i="102"/>
  <c r="BE281" i="102"/>
  <c r="AV281" i="102"/>
  <c r="AU281" i="102"/>
  <c r="AT281" i="102"/>
  <c r="AJ281" i="102"/>
  <c r="AF281" i="102"/>
  <c r="AD281" i="102"/>
  <c r="AC281" i="102"/>
  <c r="Y281" i="102"/>
  <c r="R281" i="102"/>
  <c r="M281" i="102" l="1"/>
  <c r="H281" i="102"/>
  <c r="G281" i="102" l="1"/>
  <c r="L281" i="102" l="1"/>
  <c r="K281" i="102"/>
  <c r="J281" i="102"/>
  <c r="I281" i="102"/>
  <c r="F281" i="102"/>
  <c r="E281" i="102"/>
  <c r="D281" i="102"/>
  <c r="E37" i="102" l="1"/>
  <c r="F37" i="102"/>
  <c r="G37" i="102"/>
  <c r="H37" i="102"/>
  <c r="I37" i="102"/>
  <c r="J37" i="102"/>
  <c r="K37" i="102"/>
  <c r="L37" i="102"/>
  <c r="M37" i="102"/>
  <c r="N37" i="102"/>
  <c r="O37" i="102"/>
  <c r="P37" i="102"/>
  <c r="Q37" i="102"/>
  <c r="R37" i="102"/>
  <c r="S37" i="102"/>
  <c r="T37" i="102"/>
  <c r="U37" i="102"/>
  <c r="V37" i="102"/>
  <c r="W37" i="102"/>
  <c r="X37" i="102"/>
  <c r="Y37" i="102"/>
  <c r="Z37" i="102"/>
  <c r="AA37" i="102"/>
  <c r="AB37" i="102"/>
  <c r="AC37" i="102"/>
  <c r="AD37" i="102"/>
  <c r="AE37" i="102"/>
  <c r="AF37" i="102"/>
  <c r="AG37" i="102"/>
  <c r="AH37" i="102"/>
  <c r="AI37" i="102"/>
  <c r="AJ37" i="102"/>
  <c r="AK37" i="102"/>
  <c r="AL37" i="102"/>
  <c r="AM37" i="102"/>
  <c r="AN37" i="102"/>
  <c r="AO37" i="102"/>
  <c r="AP37" i="102"/>
  <c r="AQ37" i="102"/>
  <c r="AR37" i="102"/>
  <c r="AS37" i="102"/>
  <c r="AT37" i="102"/>
  <c r="AU37" i="102"/>
  <c r="AV37" i="102"/>
  <c r="AW37" i="102"/>
  <c r="AX37" i="102"/>
  <c r="AY37" i="102"/>
  <c r="AZ37" i="102"/>
  <c r="BA37" i="102"/>
  <c r="BB37" i="102"/>
  <c r="BC37" i="102"/>
  <c r="BD37" i="102"/>
  <c r="BE37" i="102"/>
  <c r="BF37" i="102"/>
  <c r="BG37" i="102"/>
  <c r="BH37" i="102"/>
  <c r="BI37" i="102"/>
  <c r="BJ37" i="102"/>
  <c r="BK37" i="102"/>
  <c r="BL37" i="102"/>
  <c r="BM37" i="102"/>
  <c r="BN37" i="102"/>
  <c r="BO37" i="102"/>
  <c r="BP37" i="102"/>
  <c r="BQ37" i="102"/>
  <c r="BR37" i="102"/>
  <c r="BS37" i="102"/>
  <c r="BT37" i="102"/>
  <c r="BU37" i="102"/>
  <c r="BV37" i="102"/>
  <c r="BW37" i="102"/>
  <c r="BX37" i="102"/>
  <c r="BY37" i="102"/>
  <c r="BZ37" i="102"/>
  <c r="CA37" i="102"/>
  <c r="CB37" i="102"/>
  <c r="CC37" i="102"/>
  <c r="CD37" i="102"/>
  <c r="CE37" i="102"/>
  <c r="CF37" i="102"/>
  <c r="CG37" i="102"/>
  <c r="CH37" i="102"/>
  <c r="CI37" i="102"/>
  <c r="CJ37" i="102"/>
  <c r="CK37" i="102"/>
  <c r="CL37" i="102"/>
  <c r="CM37" i="102"/>
  <c r="CN37" i="102"/>
  <c r="CO37" i="102"/>
  <c r="CP37" i="102"/>
  <c r="CQ37" i="102"/>
  <c r="CR37" i="102"/>
  <c r="CS37" i="102"/>
  <c r="CT37" i="102"/>
  <c r="CU37" i="102"/>
  <c r="B177" i="102"/>
  <c r="H167" i="102" l="1"/>
  <c r="H169" i="102"/>
  <c r="J167" i="102"/>
  <c r="J169" i="102"/>
  <c r="CI167" i="102"/>
  <c r="CR167" i="102"/>
  <c r="CL167" i="102"/>
  <c r="CK167" i="102"/>
  <c r="CH167" i="102"/>
  <c r="CB167" i="102"/>
  <c r="CA167" i="102"/>
  <c r="BF167" i="102"/>
  <c r="BG167" i="102"/>
  <c r="BC167" i="102"/>
  <c r="BB167" i="102"/>
  <c r="AX167" i="102"/>
  <c r="AW167" i="102"/>
  <c r="AE167" i="102"/>
  <c r="T167" i="102"/>
  <c r="S167" i="102"/>
  <c r="M167" i="102"/>
  <c r="CU122" i="102" l="1"/>
  <c r="CT122" i="102"/>
  <c r="CS122" i="102"/>
  <c r="CR122" i="102"/>
  <c r="CQ122" i="102"/>
  <c r="CP122" i="102"/>
  <c r="CO122" i="102"/>
  <c r="CN122" i="102"/>
  <c r="CM122" i="102"/>
  <c r="CL122" i="102"/>
  <c r="CK122" i="102"/>
  <c r="CJ122" i="102"/>
  <c r="CH122" i="102"/>
  <c r="CG122" i="102"/>
  <c r="CF122" i="102"/>
  <c r="CD122" i="102"/>
  <c r="CC122" i="102"/>
  <c r="CB122" i="102"/>
  <c r="CA122" i="102"/>
  <c r="BZ122" i="102"/>
  <c r="BY122" i="102"/>
  <c r="BW122" i="102"/>
  <c r="BV122" i="102"/>
  <c r="BU122" i="102"/>
  <c r="BT122" i="102"/>
  <c r="BS122" i="102"/>
  <c r="BR122" i="102"/>
  <c r="BQ122" i="102"/>
  <c r="BP122" i="102"/>
  <c r="BO122" i="102"/>
  <c r="BN122" i="102"/>
  <c r="BM122" i="102"/>
  <c r="BL122" i="102"/>
  <c r="BK122" i="102"/>
  <c r="BJ122" i="102"/>
  <c r="BI122" i="102"/>
  <c r="BH122" i="102"/>
  <c r="BG122" i="102"/>
  <c r="BF122" i="102"/>
  <c r="BE122" i="102"/>
  <c r="AY122" i="102"/>
  <c r="AV122" i="102"/>
  <c r="AU122" i="102"/>
  <c r="AT122" i="102"/>
  <c r="AS122" i="102"/>
  <c r="AR122" i="102"/>
  <c r="AQ122" i="102"/>
  <c r="AP122" i="102"/>
  <c r="AO122" i="102"/>
  <c r="AN122" i="102"/>
  <c r="AM122" i="102"/>
  <c r="AL122" i="102"/>
  <c r="AK122" i="102"/>
  <c r="AJ122" i="102"/>
  <c r="AI122" i="102"/>
  <c r="AH122" i="102"/>
  <c r="AG122" i="102"/>
  <c r="AF122" i="102"/>
  <c r="AE122" i="102"/>
  <c r="AC122" i="102"/>
  <c r="AB122" i="102"/>
  <c r="AA122" i="102"/>
  <c r="Z122" i="102"/>
  <c r="Y122" i="102"/>
  <c r="X122" i="102"/>
  <c r="W122" i="102"/>
  <c r="V122" i="102"/>
  <c r="U122" i="102"/>
  <c r="T122" i="102"/>
  <c r="S122" i="102"/>
  <c r="R122" i="102"/>
  <c r="Q122" i="102"/>
  <c r="P122" i="102"/>
  <c r="O122" i="102"/>
  <c r="M122" i="102"/>
  <c r="L122" i="102"/>
  <c r="K122" i="102"/>
  <c r="I122" i="102"/>
  <c r="H122" i="102"/>
  <c r="F122" i="102"/>
  <c r="N245" i="102" l="1"/>
  <c r="G245" i="102"/>
  <c r="N243" i="102"/>
  <c r="G243" i="102"/>
  <c r="N242" i="102"/>
  <c r="J242" i="102"/>
  <c r="H242" i="102"/>
  <c r="G242" i="102"/>
  <c r="D242" i="102"/>
  <c r="N240" i="102"/>
  <c r="CR239" i="102"/>
  <c r="N239" i="102"/>
  <c r="I239" i="102"/>
  <c r="N237" i="102"/>
  <c r="G237" i="102"/>
  <c r="BX236" i="102"/>
  <c r="BD236" i="102"/>
  <c r="N236" i="102"/>
  <c r="G236" i="102"/>
  <c r="D236" i="102"/>
  <c r="N235" i="102"/>
  <c r="J235" i="102"/>
  <c r="H235" i="102"/>
  <c r="G235" i="102"/>
  <c r="E235" i="102"/>
  <c r="D235" i="102"/>
  <c r="BD234" i="102"/>
  <c r="N234" i="102"/>
  <c r="G234" i="102"/>
  <c r="D234" i="102"/>
  <c r="N105" i="102"/>
  <c r="N104" i="102"/>
  <c r="N103" i="102"/>
  <c r="G103" i="102"/>
  <c r="N97" i="102"/>
  <c r="G97" i="102"/>
  <c r="BX96" i="102"/>
  <c r="BX122" i="102" s="1"/>
  <c r="BD96" i="102"/>
  <c r="N96" i="102"/>
  <c r="G96" i="102"/>
  <c r="CI95" i="102"/>
  <c r="CI122" i="102" s="1"/>
  <c r="CE95" i="102"/>
  <c r="CE122" i="102" s="1"/>
  <c r="J95" i="102"/>
  <c r="J122" i="102" s="1"/>
  <c r="E95" i="102"/>
  <c r="BD94" i="102"/>
  <c r="N122" i="102" l="1"/>
  <c r="BD122" i="102"/>
  <c r="C59" i="102"/>
  <c r="C57" i="102"/>
  <c r="C55" i="102"/>
  <c r="C54" i="102"/>
  <c r="C52" i="102"/>
  <c r="C50" i="102"/>
  <c r="C49" i="102"/>
  <c r="C47" i="102"/>
  <c r="C46" i="102"/>
  <c r="C45" i="102"/>
  <c r="BC91" i="102" l="1"/>
  <c r="BC122" i="102" s="1"/>
  <c r="BB91" i="102" l="1"/>
  <c r="BA91" i="102"/>
  <c r="AZ91" i="102"/>
  <c r="BB89" i="102"/>
  <c r="BA89" i="102"/>
  <c r="AZ89" i="102"/>
  <c r="BB88" i="102"/>
  <c r="BA88" i="102"/>
  <c r="AZ88" i="102"/>
  <c r="BB87" i="102"/>
  <c r="BA87" i="102"/>
  <c r="AZ87" i="102"/>
  <c r="BB86" i="102"/>
  <c r="BA86" i="102"/>
  <c r="AZ86" i="102"/>
  <c r="BB84" i="102"/>
  <c r="BA84" i="102"/>
  <c r="AZ84" i="102"/>
  <c r="BB83" i="102"/>
  <c r="BA83" i="102"/>
  <c r="AZ83" i="102"/>
  <c r="BB82" i="102"/>
  <c r="BA82" i="102"/>
  <c r="AZ82" i="102"/>
  <c r="BB80" i="102"/>
  <c r="BA80" i="102"/>
  <c r="AZ80" i="102"/>
  <c r="BB79" i="102"/>
  <c r="BA79" i="102"/>
  <c r="AZ79" i="102"/>
  <c r="BB78" i="102"/>
  <c r="BA78" i="102"/>
  <c r="AZ78" i="102"/>
  <c r="BB76" i="102"/>
  <c r="BA76" i="102"/>
  <c r="AZ76" i="102"/>
  <c r="BB75" i="102"/>
  <c r="BA75" i="102"/>
  <c r="AZ75" i="102"/>
  <c r="BB74" i="102"/>
  <c r="BA74" i="102"/>
  <c r="AZ74" i="102"/>
  <c r="BB73" i="102"/>
  <c r="BA73" i="102"/>
  <c r="AZ73" i="102"/>
  <c r="AW80" i="102"/>
  <c r="AW73" i="102"/>
  <c r="AW74" i="102"/>
  <c r="AX74" i="102"/>
  <c r="AW75" i="102"/>
  <c r="AW76" i="102"/>
  <c r="G89" i="102"/>
  <c r="G88" i="102"/>
  <c r="G87" i="102"/>
  <c r="G86" i="102"/>
  <c r="G84" i="102"/>
  <c r="G83" i="102"/>
  <c r="G82" i="102"/>
  <c r="G80" i="102"/>
  <c r="G79" i="102"/>
  <c r="G78" i="102"/>
  <c r="G76" i="102"/>
  <c r="G75" i="102"/>
  <c r="G74" i="102"/>
  <c r="G73" i="102"/>
  <c r="D78" i="102"/>
  <c r="D79" i="102"/>
  <c r="D80" i="102"/>
  <c r="BA122" i="102" l="1"/>
  <c r="BB122" i="102"/>
  <c r="AZ122" i="102"/>
  <c r="G116" i="102"/>
  <c r="G115" i="102"/>
  <c r="G122" i="102" s="1"/>
  <c r="D168" i="102" l="1"/>
  <c r="E168" i="102"/>
  <c r="F168" i="102"/>
  <c r="G168" i="102"/>
  <c r="H168" i="102"/>
  <c r="I168" i="102"/>
  <c r="J168" i="102"/>
  <c r="K168" i="102"/>
  <c r="L168" i="102"/>
  <c r="M168" i="102"/>
  <c r="N168" i="102"/>
  <c r="O168" i="102"/>
  <c r="P168" i="102"/>
  <c r="Q168" i="102"/>
  <c r="R168" i="102"/>
  <c r="S168" i="102"/>
  <c r="T168" i="102"/>
  <c r="U168" i="102"/>
  <c r="V168" i="102"/>
  <c r="W168" i="102"/>
  <c r="X168" i="102"/>
  <c r="Y168" i="102"/>
  <c r="Z168" i="102"/>
  <c r="AA168" i="102"/>
  <c r="AB168" i="102"/>
  <c r="AC168" i="102"/>
  <c r="AD168" i="102"/>
  <c r="AE168" i="102"/>
  <c r="AF168" i="102"/>
  <c r="AG168" i="102"/>
  <c r="AH168" i="102"/>
  <c r="AI168" i="102"/>
  <c r="AJ168" i="102"/>
  <c r="AK168" i="102"/>
  <c r="AL168" i="102"/>
  <c r="AM168" i="102"/>
  <c r="AN168" i="102"/>
  <c r="AO168" i="102"/>
  <c r="AP168" i="102"/>
  <c r="AQ168" i="102"/>
  <c r="AR168" i="102"/>
  <c r="AS168" i="102"/>
  <c r="AT168" i="102"/>
  <c r="AU168" i="102"/>
  <c r="AV168" i="102"/>
  <c r="AW168" i="102"/>
  <c r="AX168" i="102"/>
  <c r="AY168" i="102"/>
  <c r="AZ168" i="102"/>
  <c r="BA168" i="102"/>
  <c r="BB168" i="102"/>
  <c r="BC168" i="102"/>
  <c r="BD168" i="102"/>
  <c r="BE168" i="102"/>
  <c r="BF168" i="102"/>
  <c r="BG168" i="102"/>
  <c r="BH168" i="102"/>
  <c r="BI168" i="102"/>
  <c r="BJ168" i="102"/>
  <c r="BK168" i="102"/>
  <c r="BL168" i="102"/>
  <c r="BM168" i="102"/>
  <c r="BN168" i="102"/>
  <c r="BO168" i="102"/>
  <c r="BP168" i="102"/>
  <c r="BQ168" i="102"/>
  <c r="BR168" i="102"/>
  <c r="BS168" i="102"/>
  <c r="BT168" i="102"/>
  <c r="BU168" i="102"/>
  <c r="BV168" i="102"/>
  <c r="BW168" i="102"/>
  <c r="BX168" i="102"/>
  <c r="BY168" i="102"/>
  <c r="BZ168" i="102"/>
  <c r="CA168" i="102"/>
  <c r="CB168" i="102"/>
  <c r="CC168" i="102"/>
  <c r="CD168" i="102"/>
  <c r="CE168" i="102"/>
  <c r="CF168" i="102"/>
  <c r="CG168" i="102"/>
  <c r="CH168" i="102"/>
  <c r="CI168" i="102"/>
  <c r="CJ168" i="102"/>
  <c r="CK168" i="102"/>
  <c r="CL168" i="102"/>
  <c r="CM168" i="102"/>
  <c r="CN168" i="102"/>
  <c r="CO168" i="102"/>
  <c r="CP168" i="102"/>
  <c r="CQ168" i="102"/>
  <c r="CR168" i="102"/>
  <c r="CS168" i="102"/>
  <c r="CT168" i="102"/>
  <c r="CU168" i="102"/>
  <c r="E111" i="102" l="1"/>
  <c r="E122" i="102" s="1"/>
  <c r="AD118" i="102" l="1"/>
  <c r="AD122" i="102" s="1"/>
  <c r="N179" i="102" l="1"/>
  <c r="M179" i="102"/>
  <c r="N178" i="102"/>
  <c r="M178" i="102"/>
  <c r="N173" i="102"/>
  <c r="M173" i="102"/>
  <c r="N170" i="102"/>
  <c r="M170" i="102"/>
  <c r="N163" i="102"/>
  <c r="M163" i="102"/>
  <c r="N162" i="102"/>
  <c r="M162" i="102"/>
  <c r="N159" i="102"/>
  <c r="M159" i="102"/>
  <c r="N156" i="102"/>
  <c r="M156" i="102"/>
  <c r="N155" i="102"/>
  <c r="M155" i="102"/>
  <c r="N152" i="102"/>
  <c r="M152" i="102"/>
  <c r="N147" i="102"/>
  <c r="N272" i="102" s="1"/>
  <c r="M147" i="102"/>
  <c r="M272" i="102" s="1"/>
  <c r="N146" i="102"/>
  <c r="N271" i="102" s="1"/>
  <c r="M146" i="102"/>
  <c r="M271" i="102" s="1"/>
  <c r="N145" i="102"/>
  <c r="M145" i="102"/>
  <c r="N140" i="102"/>
  <c r="M140" i="102"/>
  <c r="N133" i="102"/>
  <c r="M133" i="102"/>
  <c r="N132" i="102"/>
  <c r="M132" i="102"/>
  <c r="N131" i="102"/>
  <c r="M131" i="102"/>
  <c r="N130" i="102"/>
  <c r="M130" i="102"/>
  <c r="N126" i="102"/>
  <c r="N136" i="102" s="1"/>
  <c r="M126" i="102"/>
  <c r="M136" i="102" s="1"/>
  <c r="M135" i="102"/>
  <c r="M181" i="102" l="1"/>
  <c r="M274" i="102"/>
  <c r="N181" i="102"/>
  <c r="N274" i="102"/>
  <c r="M180" i="102"/>
  <c r="M273" i="102"/>
  <c r="N180" i="102"/>
  <c r="N273" i="102"/>
  <c r="N177" i="102"/>
  <c r="N270" i="102"/>
  <c r="M177" i="102"/>
  <c r="M270" i="102"/>
  <c r="N135" i="102"/>
  <c r="AW91" i="102" l="1"/>
  <c r="AX89" i="102"/>
  <c r="AW89" i="102"/>
  <c r="AX88" i="102"/>
  <c r="AW88" i="102"/>
  <c r="AX87" i="102"/>
  <c r="AW87" i="102"/>
  <c r="AX86" i="102"/>
  <c r="AW86" i="102"/>
  <c r="AW84" i="102"/>
  <c r="AW83" i="102"/>
  <c r="AW82" i="102"/>
  <c r="AW79" i="102"/>
  <c r="AW78" i="102"/>
  <c r="D91" i="102"/>
  <c r="D89" i="102"/>
  <c r="D88" i="102"/>
  <c r="D87" i="102"/>
  <c r="D86" i="102"/>
  <c r="D84" i="102"/>
  <c r="D83" i="102"/>
  <c r="D82" i="102"/>
  <c r="D76" i="102"/>
  <c r="D75" i="102"/>
  <c r="D74" i="102"/>
  <c r="D73" i="102"/>
  <c r="AX122" i="102" l="1"/>
  <c r="AW122" i="102"/>
  <c r="BZ266" i="102"/>
  <c r="BZ276" i="102" s="1"/>
  <c r="BZ262" i="102"/>
  <c r="BZ275" i="102" s="1"/>
  <c r="BZ179" i="102"/>
  <c r="BZ178" i="102"/>
  <c r="BZ173" i="102"/>
  <c r="BZ170" i="102"/>
  <c r="BZ163" i="102"/>
  <c r="BZ273" i="102" s="1"/>
  <c r="BZ162" i="102"/>
  <c r="BZ159" i="102"/>
  <c r="BZ156" i="102"/>
  <c r="BZ280" i="102" s="1"/>
  <c r="BZ155" i="102"/>
  <c r="BZ152" i="102"/>
  <c r="BZ147" i="102"/>
  <c r="BZ272" i="102" s="1"/>
  <c r="BZ146" i="102"/>
  <c r="BZ271" i="102" s="1"/>
  <c r="BZ145" i="102"/>
  <c r="BZ177" i="102" s="1"/>
  <c r="BZ140" i="102"/>
  <c r="BZ133" i="102"/>
  <c r="BZ132" i="102"/>
  <c r="BZ131" i="102"/>
  <c r="BZ130" i="102"/>
  <c r="BZ126" i="102"/>
  <c r="BZ136" i="102" s="1"/>
  <c r="BZ135" i="102"/>
  <c r="BZ40" i="102"/>
  <c r="BZ28" i="102"/>
  <c r="BZ30" i="102" s="1"/>
  <c r="BZ41" i="102" s="1"/>
  <c r="BZ181" i="102" l="1"/>
  <c r="BZ274" i="102"/>
  <c r="BZ270" i="102"/>
  <c r="BZ180" i="102"/>
  <c r="BZ134" i="102"/>
  <c r="BZ137" i="102" s="1"/>
  <c r="BZ277" i="102"/>
  <c r="C261" i="102" l="1"/>
  <c r="G95" i="93" s="1"/>
  <c r="C260" i="102"/>
  <c r="G94" i="93" s="1"/>
  <c r="C258" i="102"/>
  <c r="G92" i="93" s="1"/>
  <c r="C256" i="102"/>
  <c r="G90" i="93" s="1"/>
  <c r="C255" i="102"/>
  <c r="G89" i="93" s="1"/>
  <c r="C254" i="102"/>
  <c r="G88" i="93" s="1"/>
  <c r="C252" i="102"/>
  <c r="G86" i="93" s="1"/>
  <c r="C251" i="102"/>
  <c r="G85" i="93" s="1"/>
  <c r="C249" i="102"/>
  <c r="G83" i="93" s="1"/>
  <c r="C248" i="102"/>
  <c r="G82" i="93" s="1"/>
  <c r="C245" i="102"/>
  <c r="G79" i="93" s="1"/>
  <c r="C244" i="102"/>
  <c r="G78" i="93" s="1"/>
  <c r="C243" i="102"/>
  <c r="G77" i="93" s="1"/>
  <c r="C242" i="102"/>
  <c r="G76" i="93" s="1"/>
  <c r="C240" i="102"/>
  <c r="G74" i="93" s="1"/>
  <c r="C239" i="102"/>
  <c r="G73" i="93" s="1"/>
  <c r="C237" i="102"/>
  <c r="G71" i="93" s="1"/>
  <c r="C236" i="102"/>
  <c r="G70" i="93" s="1"/>
  <c r="C235" i="102"/>
  <c r="G69" i="93" s="1"/>
  <c r="C234" i="102"/>
  <c r="G68" i="93" s="1"/>
  <c r="C231" i="102"/>
  <c r="G65" i="93" s="1"/>
  <c r="C229" i="102"/>
  <c r="G63" i="93" s="1"/>
  <c r="C228" i="102"/>
  <c r="G62" i="93" s="1"/>
  <c r="C227" i="102"/>
  <c r="G61" i="93" s="1"/>
  <c r="C226" i="102"/>
  <c r="G60" i="93" s="1"/>
  <c r="C224" i="102"/>
  <c r="G58" i="93" s="1"/>
  <c r="C223" i="102"/>
  <c r="G57" i="93" s="1"/>
  <c r="C222" i="102"/>
  <c r="G56" i="93" s="1"/>
  <c r="C220" i="102"/>
  <c r="G54" i="93" s="1"/>
  <c r="C219" i="102"/>
  <c r="G53" i="93" s="1"/>
  <c r="C218" i="102"/>
  <c r="G52" i="93" s="1"/>
  <c r="C216" i="102"/>
  <c r="G50" i="93" s="1"/>
  <c r="C215" i="102"/>
  <c r="G49" i="93" s="1"/>
  <c r="C214" i="102"/>
  <c r="G48" i="93" s="1"/>
  <c r="C213" i="102"/>
  <c r="G47" i="93" s="1"/>
  <c r="C210" i="102"/>
  <c r="G44" i="93" s="1"/>
  <c r="C209" i="102"/>
  <c r="G43" i="93" s="1"/>
  <c r="C208" i="102"/>
  <c r="G42" i="93" s="1"/>
  <c r="C206" i="102"/>
  <c r="G40" i="93" s="1"/>
  <c r="C205" i="102"/>
  <c r="G39" i="93" s="1"/>
  <c r="C203" i="102"/>
  <c r="G37" i="93" s="1"/>
  <c r="C202" i="102"/>
  <c r="G36" i="93" s="1"/>
  <c r="C199" i="102"/>
  <c r="G33" i="93" s="1"/>
  <c r="C197" i="102"/>
  <c r="G31" i="93" s="1"/>
  <c r="C195" i="102"/>
  <c r="G29" i="93" s="1"/>
  <c r="C194" i="102"/>
  <c r="G28" i="93" s="1"/>
  <c r="C192" i="102"/>
  <c r="G26" i="93" s="1"/>
  <c r="C190" i="102"/>
  <c r="G24" i="93" s="1"/>
  <c r="C189" i="102"/>
  <c r="G23" i="93" s="1"/>
  <c r="C187" i="102"/>
  <c r="G21" i="93" s="1"/>
  <c r="C186" i="102"/>
  <c r="G20" i="93" s="1"/>
  <c r="C185" i="102"/>
  <c r="G19" i="93" s="1"/>
  <c r="C116" i="102"/>
  <c r="D90" i="93" s="1"/>
  <c r="C108" i="102"/>
  <c r="D82" i="93" s="1"/>
  <c r="C103" i="102"/>
  <c r="D77" i="93" s="1"/>
  <c r="C99" i="102"/>
  <c r="D73" i="93" s="1"/>
  <c r="C95" i="102"/>
  <c r="D69" i="93" s="1"/>
  <c r="C89" i="102"/>
  <c r="D63" i="93" s="1"/>
  <c r="C76" i="102"/>
  <c r="D50" i="93" s="1"/>
  <c r="C65" i="102"/>
  <c r="D39" i="93" s="1"/>
  <c r="D26" i="93"/>
  <c r="E266" i="102"/>
  <c r="E276" i="102" s="1"/>
  <c r="E262" i="102"/>
  <c r="E275" i="102" s="1"/>
  <c r="E179" i="102"/>
  <c r="E178" i="102"/>
  <c r="E173" i="102"/>
  <c r="E170" i="102"/>
  <c r="E163" i="102"/>
  <c r="E180" i="102" s="1"/>
  <c r="E162" i="102"/>
  <c r="E159" i="102"/>
  <c r="E156" i="102"/>
  <c r="E280" i="102" s="1"/>
  <c r="E155" i="102"/>
  <c r="E152" i="102"/>
  <c r="E147" i="102"/>
  <c r="E272" i="102" s="1"/>
  <c r="E146" i="102"/>
  <c r="E271" i="102" s="1"/>
  <c r="E145" i="102"/>
  <c r="E270" i="102" s="1"/>
  <c r="E140" i="102"/>
  <c r="E133" i="102"/>
  <c r="E132" i="102"/>
  <c r="E131" i="102"/>
  <c r="E130" i="102"/>
  <c r="E126" i="102"/>
  <c r="E136" i="102" s="1"/>
  <c r="E135" i="102"/>
  <c r="E40" i="102"/>
  <c r="E28" i="102"/>
  <c r="E30" i="102" s="1"/>
  <c r="E134" i="102" l="1"/>
  <c r="E137" i="102" s="1"/>
  <c r="E41" i="102"/>
  <c r="E274" i="102"/>
  <c r="E277" i="102" s="1"/>
  <c r="E181" i="102"/>
  <c r="E177" i="102"/>
  <c r="E273" i="102"/>
  <c r="CU266" i="102"/>
  <c r="CU276" i="102" s="1"/>
  <c r="AU266" i="102"/>
  <c r="AU276" i="102" s="1"/>
  <c r="CT266" i="102"/>
  <c r="CT276" i="102" s="1"/>
  <c r="CS266" i="102"/>
  <c r="CS276" i="102" s="1"/>
  <c r="CR266" i="102"/>
  <c r="CR276" i="102" s="1"/>
  <c r="CQ266" i="102"/>
  <c r="CQ276" i="102" s="1"/>
  <c r="CP266" i="102"/>
  <c r="CP276" i="102" s="1"/>
  <c r="CO266" i="102"/>
  <c r="CO276" i="102" s="1"/>
  <c r="CU262" i="102"/>
  <c r="CU275" i="102" s="1"/>
  <c r="AU262" i="102"/>
  <c r="AU275" i="102" s="1"/>
  <c r="CT262" i="102"/>
  <c r="CT275" i="102" s="1"/>
  <c r="CS262" i="102"/>
  <c r="CS275" i="102" s="1"/>
  <c r="CR262" i="102"/>
  <c r="CR275" i="102" s="1"/>
  <c r="CQ262" i="102"/>
  <c r="CQ275" i="102" s="1"/>
  <c r="CP262" i="102"/>
  <c r="CP275" i="102" s="1"/>
  <c r="CO262" i="102"/>
  <c r="CO275" i="102" s="1"/>
  <c r="CU179" i="102"/>
  <c r="AU179" i="102"/>
  <c r="CT179" i="102"/>
  <c r="CS179" i="102"/>
  <c r="CR179" i="102"/>
  <c r="CQ179" i="102"/>
  <c r="CP179" i="102"/>
  <c r="CO179" i="102"/>
  <c r="CU178" i="102"/>
  <c r="AU178" i="102"/>
  <c r="CT178" i="102"/>
  <c r="CS178" i="102"/>
  <c r="CR178" i="102"/>
  <c r="CQ178" i="102"/>
  <c r="CP178" i="102"/>
  <c r="CO178" i="102"/>
  <c r="CU173" i="102"/>
  <c r="AU173" i="102"/>
  <c r="CT173" i="102"/>
  <c r="CS173" i="102"/>
  <c r="CR173" i="102"/>
  <c r="CQ173" i="102"/>
  <c r="CP173" i="102"/>
  <c r="CO173" i="102"/>
  <c r="CU170" i="102"/>
  <c r="CU274" i="102" s="1"/>
  <c r="AU170" i="102"/>
  <c r="AU274" i="102" s="1"/>
  <c r="CT170" i="102"/>
  <c r="CT274" i="102" s="1"/>
  <c r="CS170" i="102"/>
  <c r="CS274" i="102" s="1"/>
  <c r="CR170" i="102"/>
  <c r="CR274" i="102" s="1"/>
  <c r="CQ170" i="102"/>
  <c r="CQ274" i="102" s="1"/>
  <c r="CP170" i="102"/>
  <c r="CP274" i="102" s="1"/>
  <c r="CO170" i="102"/>
  <c r="CO274" i="102" s="1"/>
  <c r="CU163" i="102"/>
  <c r="CU273" i="102" s="1"/>
  <c r="AU163" i="102"/>
  <c r="AU273" i="102" s="1"/>
  <c r="CT163" i="102"/>
  <c r="CT273" i="102" s="1"/>
  <c r="CS163" i="102"/>
  <c r="CS273" i="102" s="1"/>
  <c r="CR163" i="102"/>
  <c r="CR273" i="102" s="1"/>
  <c r="CQ163" i="102"/>
  <c r="CQ273" i="102" s="1"/>
  <c r="CP163" i="102"/>
  <c r="CP273" i="102" s="1"/>
  <c r="CO163" i="102"/>
  <c r="CO273" i="102" s="1"/>
  <c r="CU162" i="102"/>
  <c r="AU162" i="102"/>
  <c r="CT162" i="102"/>
  <c r="CS162" i="102"/>
  <c r="CR162" i="102"/>
  <c r="CQ162" i="102"/>
  <c r="CP162" i="102"/>
  <c r="CO162" i="102"/>
  <c r="CU159" i="102"/>
  <c r="AU159" i="102"/>
  <c r="CT159" i="102"/>
  <c r="CS159" i="102"/>
  <c r="CR159" i="102"/>
  <c r="CQ159" i="102"/>
  <c r="CP159" i="102"/>
  <c r="CO159" i="102"/>
  <c r="CU156" i="102"/>
  <c r="CU280" i="102" s="1"/>
  <c r="AU156" i="102"/>
  <c r="AU280" i="102" s="1"/>
  <c r="CT156" i="102"/>
  <c r="CT280" i="102" s="1"/>
  <c r="CS156" i="102"/>
  <c r="CS280" i="102" s="1"/>
  <c r="CR156" i="102"/>
  <c r="CR280" i="102" s="1"/>
  <c r="CQ156" i="102"/>
  <c r="CQ280" i="102" s="1"/>
  <c r="CP156" i="102"/>
  <c r="CP280" i="102" s="1"/>
  <c r="CO156" i="102"/>
  <c r="CO280" i="102" s="1"/>
  <c r="CU155" i="102"/>
  <c r="AU155" i="102"/>
  <c r="CT155" i="102"/>
  <c r="CS155" i="102"/>
  <c r="CR155" i="102"/>
  <c r="CQ155" i="102"/>
  <c r="CP155" i="102"/>
  <c r="CO155" i="102"/>
  <c r="CU152" i="102"/>
  <c r="AU152" i="102"/>
  <c r="CT152" i="102"/>
  <c r="CS152" i="102"/>
  <c r="CR152" i="102"/>
  <c r="CQ152" i="102"/>
  <c r="CP152" i="102"/>
  <c r="CO152" i="102"/>
  <c r="CU147" i="102"/>
  <c r="CU272" i="102" s="1"/>
  <c r="AU147" i="102"/>
  <c r="AU272" i="102" s="1"/>
  <c r="CT147" i="102"/>
  <c r="CT272" i="102" s="1"/>
  <c r="CS147" i="102"/>
  <c r="CS272" i="102" s="1"/>
  <c r="CR147" i="102"/>
  <c r="CR272" i="102" s="1"/>
  <c r="CQ147" i="102"/>
  <c r="CQ272" i="102" s="1"/>
  <c r="CP147" i="102"/>
  <c r="CP272" i="102" s="1"/>
  <c r="CO147" i="102"/>
  <c r="CO272" i="102" s="1"/>
  <c r="CU146" i="102"/>
  <c r="CU271" i="102" s="1"/>
  <c r="AU146" i="102"/>
  <c r="AU271" i="102" s="1"/>
  <c r="CT146" i="102"/>
  <c r="CT271" i="102" s="1"/>
  <c r="CS146" i="102"/>
  <c r="CS271" i="102" s="1"/>
  <c r="CR146" i="102"/>
  <c r="CR271" i="102" s="1"/>
  <c r="CQ146" i="102"/>
  <c r="CQ271" i="102" s="1"/>
  <c r="CP146" i="102"/>
  <c r="CP271" i="102" s="1"/>
  <c r="CO146" i="102"/>
  <c r="CO271" i="102" s="1"/>
  <c r="CU145" i="102"/>
  <c r="CU270" i="102" s="1"/>
  <c r="AU145" i="102"/>
  <c r="AU270" i="102" s="1"/>
  <c r="CT145" i="102"/>
  <c r="CT270" i="102" s="1"/>
  <c r="CS145" i="102"/>
  <c r="CS270" i="102" s="1"/>
  <c r="CR145" i="102"/>
  <c r="CR270" i="102" s="1"/>
  <c r="CQ145" i="102"/>
  <c r="CQ177" i="102" s="1"/>
  <c r="CP145" i="102"/>
  <c r="CP270" i="102" s="1"/>
  <c r="CO145" i="102"/>
  <c r="CO270" i="102" s="1"/>
  <c r="CU140" i="102"/>
  <c r="AU140" i="102"/>
  <c r="CT140" i="102"/>
  <c r="CS140" i="102"/>
  <c r="CR140" i="102"/>
  <c r="CQ140" i="102"/>
  <c r="CP140" i="102"/>
  <c r="CO140" i="102"/>
  <c r="CU133" i="102"/>
  <c r="AU133" i="102"/>
  <c r="CT133" i="102"/>
  <c r="CS133" i="102"/>
  <c r="CR133" i="102"/>
  <c r="CQ133" i="102"/>
  <c r="CP133" i="102"/>
  <c r="CO133" i="102"/>
  <c r="CU132" i="102"/>
  <c r="AU132" i="102"/>
  <c r="CT132" i="102"/>
  <c r="CS132" i="102"/>
  <c r="CR132" i="102"/>
  <c r="CQ132" i="102"/>
  <c r="CP132" i="102"/>
  <c r="CO132" i="102"/>
  <c r="CU131" i="102"/>
  <c r="AU131" i="102"/>
  <c r="CT131" i="102"/>
  <c r="CS131" i="102"/>
  <c r="CR131" i="102"/>
  <c r="CQ131" i="102"/>
  <c r="CP131" i="102"/>
  <c r="CO131" i="102"/>
  <c r="CU130" i="102"/>
  <c r="AU130" i="102"/>
  <c r="CT130" i="102"/>
  <c r="CS130" i="102"/>
  <c r="CR130" i="102"/>
  <c r="CQ130" i="102"/>
  <c r="CP130" i="102"/>
  <c r="CO130" i="102"/>
  <c r="CU126" i="102"/>
  <c r="CU136" i="102" s="1"/>
  <c r="AU126" i="102"/>
  <c r="AU136" i="102" s="1"/>
  <c r="CT126" i="102"/>
  <c r="CT136" i="102" s="1"/>
  <c r="CS126" i="102"/>
  <c r="CS136" i="102" s="1"/>
  <c r="CR126" i="102"/>
  <c r="CR136" i="102" s="1"/>
  <c r="CQ126" i="102"/>
  <c r="CQ136" i="102" s="1"/>
  <c r="CP126" i="102"/>
  <c r="CP136" i="102" s="1"/>
  <c r="CO126" i="102"/>
  <c r="CO136" i="102" s="1"/>
  <c r="CU135" i="102"/>
  <c r="AU135" i="102"/>
  <c r="CT135" i="102"/>
  <c r="CS135" i="102"/>
  <c r="CR135" i="102"/>
  <c r="CQ135" i="102"/>
  <c r="CP135" i="102"/>
  <c r="CO135" i="102"/>
  <c r="CU40" i="102"/>
  <c r="AU40" i="102"/>
  <c r="CT40" i="102"/>
  <c r="CS40" i="102"/>
  <c r="CR40" i="102"/>
  <c r="CQ40" i="102"/>
  <c r="CP40" i="102"/>
  <c r="CO40" i="102"/>
  <c r="CU28" i="102"/>
  <c r="CU30" i="102" s="1"/>
  <c r="AU28" i="102"/>
  <c r="AU30" i="102" s="1"/>
  <c r="CT28" i="102"/>
  <c r="CT30" i="102" s="1"/>
  <c r="CS28" i="102"/>
  <c r="CS30" i="102" s="1"/>
  <c r="CR28" i="102"/>
  <c r="CR30" i="102" s="1"/>
  <c r="CQ28" i="102"/>
  <c r="CQ30" i="102" s="1"/>
  <c r="CP28" i="102"/>
  <c r="CP30" i="102" s="1"/>
  <c r="CO28" i="102"/>
  <c r="CO30" i="102" s="1"/>
  <c r="AZ266" i="102"/>
  <c r="AZ276" i="102" s="1"/>
  <c r="AK266" i="102"/>
  <c r="AK276" i="102" s="1"/>
  <c r="T266" i="102"/>
  <c r="T276" i="102" s="1"/>
  <c r="AJ266" i="102"/>
  <c r="AJ276" i="102" s="1"/>
  <c r="AZ262" i="102"/>
  <c r="AZ275" i="102" s="1"/>
  <c r="AK262" i="102"/>
  <c r="AK275" i="102" s="1"/>
  <c r="T262" i="102"/>
  <c r="T275" i="102" s="1"/>
  <c r="AJ262" i="102"/>
  <c r="AJ275" i="102" s="1"/>
  <c r="AZ179" i="102"/>
  <c r="AK179" i="102"/>
  <c r="T179" i="102"/>
  <c r="AJ179" i="102"/>
  <c r="AZ178" i="102"/>
  <c r="AK178" i="102"/>
  <c r="T178" i="102"/>
  <c r="AJ178" i="102"/>
  <c r="AZ173" i="102"/>
  <c r="AK173" i="102"/>
  <c r="T173" i="102"/>
  <c r="AJ173" i="102"/>
  <c r="AZ170" i="102"/>
  <c r="AZ274" i="102" s="1"/>
  <c r="AK170" i="102"/>
  <c r="AK274" i="102" s="1"/>
  <c r="T170" i="102"/>
  <c r="T274" i="102" s="1"/>
  <c r="AJ170" i="102"/>
  <c r="AJ274" i="102" s="1"/>
  <c r="AZ163" i="102"/>
  <c r="AZ273" i="102" s="1"/>
  <c r="AK163" i="102"/>
  <c r="AK273" i="102" s="1"/>
  <c r="T163" i="102"/>
  <c r="T273" i="102" s="1"/>
  <c r="AJ163" i="102"/>
  <c r="AJ273" i="102" s="1"/>
  <c r="AZ162" i="102"/>
  <c r="AK162" i="102"/>
  <c r="T162" i="102"/>
  <c r="AJ162" i="102"/>
  <c r="AZ159" i="102"/>
  <c r="AK159" i="102"/>
  <c r="T159" i="102"/>
  <c r="AJ159" i="102"/>
  <c r="AZ156" i="102"/>
  <c r="AZ280" i="102" s="1"/>
  <c r="AK156" i="102"/>
  <c r="AK280" i="102" s="1"/>
  <c r="T156" i="102"/>
  <c r="T280" i="102" s="1"/>
  <c r="AJ156" i="102"/>
  <c r="AJ280" i="102" s="1"/>
  <c r="AZ155" i="102"/>
  <c r="AK155" i="102"/>
  <c r="T155" i="102"/>
  <c r="AJ155" i="102"/>
  <c r="AZ152" i="102"/>
  <c r="AK152" i="102"/>
  <c r="T152" i="102"/>
  <c r="AJ152" i="102"/>
  <c r="AZ147" i="102"/>
  <c r="AZ272" i="102" s="1"/>
  <c r="AK147" i="102"/>
  <c r="AK272" i="102" s="1"/>
  <c r="T147" i="102"/>
  <c r="T272" i="102" s="1"/>
  <c r="AJ147" i="102"/>
  <c r="AJ272" i="102" s="1"/>
  <c r="AZ146" i="102"/>
  <c r="AZ271" i="102" s="1"/>
  <c r="AK146" i="102"/>
  <c r="AK271" i="102" s="1"/>
  <c r="T146" i="102"/>
  <c r="T271" i="102" s="1"/>
  <c r="AJ146" i="102"/>
  <c r="AJ271" i="102" s="1"/>
  <c r="AZ145" i="102"/>
  <c r="AZ270" i="102" s="1"/>
  <c r="AK145" i="102"/>
  <c r="AK270" i="102" s="1"/>
  <c r="T145" i="102"/>
  <c r="T270" i="102" s="1"/>
  <c r="AJ145" i="102"/>
  <c r="AJ270" i="102" s="1"/>
  <c r="AZ140" i="102"/>
  <c r="AK140" i="102"/>
  <c r="T140" i="102"/>
  <c r="AJ140" i="102"/>
  <c r="AZ133" i="102"/>
  <c r="AK133" i="102"/>
  <c r="T133" i="102"/>
  <c r="AJ133" i="102"/>
  <c r="AZ132" i="102"/>
  <c r="AK132" i="102"/>
  <c r="T132" i="102"/>
  <c r="AJ132" i="102"/>
  <c r="AZ131" i="102"/>
  <c r="AK131" i="102"/>
  <c r="T131" i="102"/>
  <c r="AJ131" i="102"/>
  <c r="AZ130" i="102"/>
  <c r="AK130" i="102"/>
  <c r="T130" i="102"/>
  <c r="AJ130" i="102"/>
  <c r="AZ126" i="102"/>
  <c r="AZ136" i="102" s="1"/>
  <c r="AK126" i="102"/>
  <c r="AK136" i="102" s="1"/>
  <c r="T126" i="102"/>
  <c r="T136" i="102" s="1"/>
  <c r="AJ126" i="102"/>
  <c r="AJ136" i="102" s="1"/>
  <c r="AZ135" i="102"/>
  <c r="AK135" i="102"/>
  <c r="T135" i="102"/>
  <c r="AJ135" i="102"/>
  <c r="AZ40" i="102"/>
  <c r="AK40" i="102"/>
  <c r="T40" i="102"/>
  <c r="AJ40" i="102"/>
  <c r="AZ28" i="102"/>
  <c r="AZ30" i="102" s="1"/>
  <c r="AK28" i="102"/>
  <c r="AK30" i="102" s="1"/>
  <c r="T28" i="102"/>
  <c r="T30" i="102" s="1"/>
  <c r="AJ28" i="102"/>
  <c r="AJ30" i="102" s="1"/>
  <c r="BB266" i="102"/>
  <c r="BB276" i="102" s="1"/>
  <c r="BA266" i="102"/>
  <c r="BA276" i="102" s="1"/>
  <c r="BB262" i="102"/>
  <c r="BB275" i="102" s="1"/>
  <c r="BA262" i="102"/>
  <c r="BA275" i="102" s="1"/>
  <c r="BB179" i="102"/>
  <c r="BA179" i="102"/>
  <c r="BB178" i="102"/>
  <c r="BA178" i="102"/>
  <c r="BB173" i="102"/>
  <c r="BA173" i="102"/>
  <c r="BB170" i="102"/>
  <c r="BB274" i="102" s="1"/>
  <c r="BA170" i="102"/>
  <c r="BA274" i="102" s="1"/>
  <c r="BB163" i="102"/>
  <c r="BB273" i="102" s="1"/>
  <c r="BA163" i="102"/>
  <c r="BA273" i="102" s="1"/>
  <c r="BB162" i="102"/>
  <c r="BA162" i="102"/>
  <c r="BB159" i="102"/>
  <c r="BA159" i="102"/>
  <c r="BB156" i="102"/>
  <c r="BB280" i="102" s="1"/>
  <c r="BA156" i="102"/>
  <c r="BA280" i="102" s="1"/>
  <c r="BB155" i="102"/>
  <c r="BA155" i="102"/>
  <c r="BB152" i="102"/>
  <c r="BA152" i="102"/>
  <c r="BB147" i="102"/>
  <c r="BB272" i="102" s="1"/>
  <c r="BA147" i="102"/>
  <c r="BA272" i="102" s="1"/>
  <c r="BB146" i="102"/>
  <c r="BB271" i="102" s="1"/>
  <c r="BA146" i="102"/>
  <c r="BA271" i="102" s="1"/>
  <c r="BB145" i="102"/>
  <c r="BB270" i="102" s="1"/>
  <c r="BA145" i="102"/>
  <c r="BA270" i="102" s="1"/>
  <c r="BB140" i="102"/>
  <c r="BA140" i="102"/>
  <c r="BB133" i="102"/>
  <c r="BA133" i="102"/>
  <c r="BB132" i="102"/>
  <c r="BA132" i="102"/>
  <c r="BB131" i="102"/>
  <c r="BA131" i="102"/>
  <c r="BB130" i="102"/>
  <c r="BA130" i="102"/>
  <c r="BB126" i="102"/>
  <c r="BB136" i="102" s="1"/>
  <c r="BA126" i="102"/>
  <c r="BA136" i="102" s="1"/>
  <c r="BB135" i="102"/>
  <c r="BA135" i="102"/>
  <c r="BB40" i="102"/>
  <c r="BA40" i="102"/>
  <c r="BB28" i="102"/>
  <c r="BB30" i="102" s="1"/>
  <c r="BA28" i="102"/>
  <c r="BA30" i="102" s="1"/>
  <c r="BC266" i="102"/>
  <c r="BC276" i="102" s="1"/>
  <c r="BC262" i="102"/>
  <c r="BC275" i="102" s="1"/>
  <c r="BC179" i="102"/>
  <c r="BC178" i="102"/>
  <c r="BC173" i="102"/>
  <c r="BC170" i="102"/>
  <c r="BC274" i="102" s="1"/>
  <c r="BC163" i="102"/>
  <c r="BC180" i="102" s="1"/>
  <c r="BC162" i="102"/>
  <c r="BC159" i="102"/>
  <c r="BC156" i="102"/>
  <c r="BC280" i="102" s="1"/>
  <c r="BC155" i="102"/>
  <c r="BC152" i="102"/>
  <c r="BC147" i="102"/>
  <c r="BC272" i="102" s="1"/>
  <c r="BC146" i="102"/>
  <c r="BC271" i="102" s="1"/>
  <c r="BC145" i="102"/>
  <c r="BC270" i="102" s="1"/>
  <c r="BC140" i="102"/>
  <c r="BC133" i="102"/>
  <c r="BC132" i="102"/>
  <c r="BC131" i="102"/>
  <c r="BC130" i="102"/>
  <c r="BC126" i="102"/>
  <c r="BC136" i="102" s="1"/>
  <c r="BC135" i="102"/>
  <c r="BC40" i="102"/>
  <c r="BC28" i="102"/>
  <c r="BC30" i="102" s="1"/>
  <c r="CG266" i="102"/>
  <c r="CG276" i="102" s="1"/>
  <c r="AH266" i="102"/>
  <c r="AH276" i="102" s="1"/>
  <c r="S266" i="102"/>
  <c r="S276" i="102" s="1"/>
  <c r="N266" i="102"/>
  <c r="N276" i="102" s="1"/>
  <c r="AG266" i="102"/>
  <c r="AG276" i="102" s="1"/>
  <c r="AF266" i="102"/>
  <c r="AF276" i="102" s="1"/>
  <c r="M266" i="102"/>
  <c r="M276" i="102" s="1"/>
  <c r="AV266" i="102"/>
  <c r="AV276" i="102" s="1"/>
  <c r="CG262" i="102"/>
  <c r="CG275" i="102" s="1"/>
  <c r="AH262" i="102"/>
  <c r="AH275" i="102" s="1"/>
  <c r="S262" i="102"/>
  <c r="S275" i="102" s="1"/>
  <c r="N262" i="102"/>
  <c r="N275" i="102" s="1"/>
  <c r="AG262" i="102"/>
  <c r="AG275" i="102" s="1"/>
  <c r="AF262" i="102"/>
  <c r="AF275" i="102" s="1"/>
  <c r="M262" i="102"/>
  <c r="M275" i="102" s="1"/>
  <c r="AV262" i="102"/>
  <c r="AV275" i="102" s="1"/>
  <c r="CG179" i="102"/>
  <c r="AH179" i="102"/>
  <c r="S179" i="102"/>
  <c r="AG179" i="102"/>
  <c r="AF179" i="102"/>
  <c r="AV179" i="102"/>
  <c r="CG178" i="102"/>
  <c r="AH178" i="102"/>
  <c r="S178" i="102"/>
  <c r="AG178" i="102"/>
  <c r="AF178" i="102"/>
  <c r="AV178" i="102"/>
  <c r="CG173" i="102"/>
  <c r="AH173" i="102"/>
  <c r="S173" i="102"/>
  <c r="AG173" i="102"/>
  <c r="AF173" i="102"/>
  <c r="AV173" i="102"/>
  <c r="CG170" i="102"/>
  <c r="CG274" i="102" s="1"/>
  <c r="AH170" i="102"/>
  <c r="AH274" i="102" s="1"/>
  <c r="S170" i="102"/>
  <c r="S274" i="102" s="1"/>
  <c r="AG170" i="102"/>
  <c r="AG274" i="102" s="1"/>
  <c r="AF170" i="102"/>
  <c r="AF274" i="102" s="1"/>
  <c r="AV170" i="102"/>
  <c r="AV274" i="102" s="1"/>
  <c r="CG163" i="102"/>
  <c r="CG273" i="102" s="1"/>
  <c r="AH163" i="102"/>
  <c r="AH273" i="102" s="1"/>
  <c r="S163" i="102"/>
  <c r="S273" i="102" s="1"/>
  <c r="AG163" i="102"/>
  <c r="AG273" i="102" s="1"/>
  <c r="AF163" i="102"/>
  <c r="AF273" i="102" s="1"/>
  <c r="AV163" i="102"/>
  <c r="AV273" i="102" s="1"/>
  <c r="CG162" i="102"/>
  <c r="AH162" i="102"/>
  <c r="S162" i="102"/>
  <c r="AG162" i="102"/>
  <c r="AF162" i="102"/>
  <c r="AV162" i="102"/>
  <c r="CG159" i="102"/>
  <c r="AH159" i="102"/>
  <c r="S159" i="102"/>
  <c r="AG159" i="102"/>
  <c r="AF159" i="102"/>
  <c r="AV159" i="102"/>
  <c r="CG156" i="102"/>
  <c r="CG280" i="102" s="1"/>
  <c r="AH156" i="102"/>
  <c r="AH280" i="102" s="1"/>
  <c r="S156" i="102"/>
  <c r="S280" i="102" s="1"/>
  <c r="N280" i="102"/>
  <c r="AG156" i="102"/>
  <c r="AG280" i="102" s="1"/>
  <c r="AF156" i="102"/>
  <c r="AF280" i="102" s="1"/>
  <c r="M280" i="102"/>
  <c r="AV156" i="102"/>
  <c r="AV280" i="102" s="1"/>
  <c r="CG155" i="102"/>
  <c r="AH155" i="102"/>
  <c r="S155" i="102"/>
  <c r="AG155" i="102"/>
  <c r="AF155" i="102"/>
  <c r="AV155" i="102"/>
  <c r="CG152" i="102"/>
  <c r="AH152" i="102"/>
  <c r="S152" i="102"/>
  <c r="AG152" i="102"/>
  <c r="AF152" i="102"/>
  <c r="AV152" i="102"/>
  <c r="CG147" i="102"/>
  <c r="CG272" i="102" s="1"/>
  <c r="AH147" i="102"/>
  <c r="AH272" i="102" s="1"/>
  <c r="S147" i="102"/>
  <c r="S272" i="102" s="1"/>
  <c r="AG147" i="102"/>
  <c r="AG272" i="102" s="1"/>
  <c r="AF147" i="102"/>
  <c r="AF272" i="102" s="1"/>
  <c r="AV147" i="102"/>
  <c r="AV272" i="102" s="1"/>
  <c r="CG146" i="102"/>
  <c r="CG271" i="102" s="1"/>
  <c r="AH146" i="102"/>
  <c r="AH271" i="102" s="1"/>
  <c r="S146" i="102"/>
  <c r="S271" i="102" s="1"/>
  <c r="AG146" i="102"/>
  <c r="AG271" i="102" s="1"/>
  <c r="AF146" i="102"/>
  <c r="AF271" i="102" s="1"/>
  <c r="AV146" i="102"/>
  <c r="AV271" i="102" s="1"/>
  <c r="CG145" i="102"/>
  <c r="CG270" i="102" s="1"/>
  <c r="AH145" i="102"/>
  <c r="AH270" i="102" s="1"/>
  <c r="S145" i="102"/>
  <c r="S270" i="102" s="1"/>
  <c r="AG145" i="102"/>
  <c r="AG270" i="102" s="1"/>
  <c r="AF145" i="102"/>
  <c r="AF270" i="102" s="1"/>
  <c r="AV145" i="102"/>
  <c r="AV270" i="102" s="1"/>
  <c r="CG140" i="102"/>
  <c r="AH140" i="102"/>
  <c r="S140" i="102"/>
  <c r="AG140" i="102"/>
  <c r="AF140" i="102"/>
  <c r="AV140" i="102"/>
  <c r="CG133" i="102"/>
  <c r="AH133" i="102"/>
  <c r="S133" i="102"/>
  <c r="AG133" i="102"/>
  <c r="AF133" i="102"/>
  <c r="AV133" i="102"/>
  <c r="CG132" i="102"/>
  <c r="AH132" i="102"/>
  <c r="S132" i="102"/>
  <c r="AG132" i="102"/>
  <c r="AF132" i="102"/>
  <c r="AV132" i="102"/>
  <c r="CG131" i="102"/>
  <c r="AH131" i="102"/>
  <c r="S131" i="102"/>
  <c r="AG131" i="102"/>
  <c r="AF131" i="102"/>
  <c r="AV131" i="102"/>
  <c r="CG130" i="102"/>
  <c r="AH130" i="102"/>
  <c r="S130" i="102"/>
  <c r="AG130" i="102"/>
  <c r="AF130" i="102"/>
  <c r="AV130" i="102"/>
  <c r="CG126" i="102"/>
  <c r="CG136" i="102" s="1"/>
  <c r="AH126" i="102"/>
  <c r="AH136" i="102" s="1"/>
  <c r="S126" i="102"/>
  <c r="S136" i="102" s="1"/>
  <c r="AG126" i="102"/>
  <c r="AG136" i="102" s="1"/>
  <c r="AF126" i="102"/>
  <c r="AF136" i="102" s="1"/>
  <c r="AV126" i="102"/>
  <c r="AV136" i="102" s="1"/>
  <c r="CG135" i="102"/>
  <c r="AH135" i="102"/>
  <c r="S135" i="102"/>
  <c r="AG135" i="102"/>
  <c r="AF135" i="102"/>
  <c r="AV135" i="102"/>
  <c r="CG40" i="102"/>
  <c r="AH40" i="102"/>
  <c r="S40" i="102"/>
  <c r="N40" i="102"/>
  <c r="AG40" i="102"/>
  <c r="AF40" i="102"/>
  <c r="M40" i="102"/>
  <c r="AV40" i="102"/>
  <c r="CG28" i="102"/>
  <c r="CG30" i="102" s="1"/>
  <c r="CG134" i="102" s="1"/>
  <c r="AH28" i="102"/>
  <c r="AH30" i="102" s="1"/>
  <c r="S28" i="102"/>
  <c r="S30" i="102" s="1"/>
  <c r="S134" i="102" s="1"/>
  <c r="N28" i="102"/>
  <c r="N30" i="102" s="1"/>
  <c r="N134" i="102" s="1"/>
  <c r="N137" i="102" s="1"/>
  <c r="AG28" i="102"/>
  <c r="AG30" i="102" s="1"/>
  <c r="AG134" i="102" s="1"/>
  <c r="AF28" i="102"/>
  <c r="AF30" i="102" s="1"/>
  <c r="AF134" i="102" s="1"/>
  <c r="M28" i="102"/>
  <c r="M30" i="102" s="1"/>
  <c r="M134" i="102" s="1"/>
  <c r="M137" i="102" s="1"/>
  <c r="AV28" i="102"/>
  <c r="AV30" i="102" s="1"/>
  <c r="CK266" i="102"/>
  <c r="CK276" i="102" s="1"/>
  <c r="CJ266" i="102"/>
  <c r="CJ276" i="102" s="1"/>
  <c r="CI266" i="102"/>
  <c r="CI276" i="102" s="1"/>
  <c r="CH266" i="102"/>
  <c r="CH276" i="102" s="1"/>
  <c r="CK262" i="102"/>
  <c r="CK275" i="102" s="1"/>
  <c r="CJ262" i="102"/>
  <c r="CJ275" i="102" s="1"/>
  <c r="CI262" i="102"/>
  <c r="CI275" i="102" s="1"/>
  <c r="CH262" i="102"/>
  <c r="CH275" i="102" s="1"/>
  <c r="CK179" i="102"/>
  <c r="CJ179" i="102"/>
  <c r="CI179" i="102"/>
  <c r="CH179" i="102"/>
  <c r="CK178" i="102"/>
  <c r="CJ178" i="102"/>
  <c r="CI178" i="102"/>
  <c r="CH178" i="102"/>
  <c r="CK173" i="102"/>
  <c r="CJ173" i="102"/>
  <c r="CI173" i="102"/>
  <c r="CH173" i="102"/>
  <c r="CK170" i="102"/>
  <c r="CK274" i="102" s="1"/>
  <c r="CJ170" i="102"/>
  <c r="CJ274" i="102" s="1"/>
  <c r="CI170" i="102"/>
  <c r="CI274" i="102" s="1"/>
  <c r="CH170" i="102"/>
  <c r="CH274" i="102" s="1"/>
  <c r="CK163" i="102"/>
  <c r="CK273" i="102" s="1"/>
  <c r="CJ163" i="102"/>
  <c r="CJ273" i="102" s="1"/>
  <c r="CI163" i="102"/>
  <c r="CI273" i="102" s="1"/>
  <c r="CH163" i="102"/>
  <c r="CH180" i="102" s="1"/>
  <c r="CK162" i="102"/>
  <c r="CJ162" i="102"/>
  <c r="CI162" i="102"/>
  <c r="CH162" i="102"/>
  <c r="CK159" i="102"/>
  <c r="CJ159" i="102"/>
  <c r="CI159" i="102"/>
  <c r="CH159" i="102"/>
  <c r="CK156" i="102"/>
  <c r="CK280" i="102" s="1"/>
  <c r="CJ156" i="102"/>
  <c r="CJ280" i="102" s="1"/>
  <c r="CI156" i="102"/>
  <c r="CI280" i="102" s="1"/>
  <c r="CH156" i="102"/>
  <c r="CH280" i="102" s="1"/>
  <c r="CK155" i="102"/>
  <c r="CJ155" i="102"/>
  <c r="CI155" i="102"/>
  <c r="CH155" i="102"/>
  <c r="CK152" i="102"/>
  <c r="CJ152" i="102"/>
  <c r="CI152" i="102"/>
  <c r="CH152" i="102"/>
  <c r="CK147" i="102"/>
  <c r="CK272" i="102" s="1"/>
  <c r="CJ147" i="102"/>
  <c r="CJ272" i="102" s="1"/>
  <c r="CI147" i="102"/>
  <c r="CI272" i="102" s="1"/>
  <c r="CH147" i="102"/>
  <c r="CH272" i="102" s="1"/>
  <c r="CK146" i="102"/>
  <c r="CK271" i="102" s="1"/>
  <c r="CJ146" i="102"/>
  <c r="CJ271" i="102" s="1"/>
  <c r="CI146" i="102"/>
  <c r="CI271" i="102" s="1"/>
  <c r="CH146" i="102"/>
  <c r="CH271" i="102" s="1"/>
  <c r="CK145" i="102"/>
  <c r="CK270" i="102" s="1"/>
  <c r="CJ145" i="102"/>
  <c r="CJ270" i="102" s="1"/>
  <c r="CI145" i="102"/>
  <c r="CI270" i="102" s="1"/>
  <c r="CH145" i="102"/>
  <c r="CH270" i="102" s="1"/>
  <c r="CK140" i="102"/>
  <c r="CJ140" i="102"/>
  <c r="CI140" i="102"/>
  <c r="CH140" i="102"/>
  <c r="CK133" i="102"/>
  <c r="CJ133" i="102"/>
  <c r="CI133" i="102"/>
  <c r="CH133" i="102"/>
  <c r="CK132" i="102"/>
  <c r="CJ132" i="102"/>
  <c r="CI132" i="102"/>
  <c r="CH132" i="102"/>
  <c r="CK131" i="102"/>
  <c r="CJ131" i="102"/>
  <c r="CI131" i="102"/>
  <c r="CH131" i="102"/>
  <c r="CK130" i="102"/>
  <c r="CJ130" i="102"/>
  <c r="CI130" i="102"/>
  <c r="CH130" i="102"/>
  <c r="CK126" i="102"/>
  <c r="CK136" i="102" s="1"/>
  <c r="CJ126" i="102"/>
  <c r="CJ136" i="102" s="1"/>
  <c r="CI126" i="102"/>
  <c r="CI136" i="102" s="1"/>
  <c r="CH126" i="102"/>
  <c r="CH136" i="102" s="1"/>
  <c r="CK135" i="102"/>
  <c r="CJ135" i="102"/>
  <c r="CI135" i="102"/>
  <c r="CH135" i="102"/>
  <c r="CK40" i="102"/>
  <c r="CJ40" i="102"/>
  <c r="CI40" i="102"/>
  <c r="CH40" i="102"/>
  <c r="CK28" i="102"/>
  <c r="CK30" i="102" s="1"/>
  <c r="CJ28" i="102"/>
  <c r="CJ30" i="102" s="1"/>
  <c r="CI28" i="102"/>
  <c r="CI30" i="102" s="1"/>
  <c r="CH28" i="102"/>
  <c r="CH30" i="102" s="1"/>
  <c r="CL266" i="102"/>
  <c r="CL276" i="102" s="1"/>
  <c r="AI266" i="102"/>
  <c r="AI276" i="102" s="1"/>
  <c r="CL262" i="102"/>
  <c r="CL275" i="102" s="1"/>
  <c r="AI262" i="102"/>
  <c r="AI275" i="102" s="1"/>
  <c r="CL179" i="102"/>
  <c r="AI179" i="102"/>
  <c r="CL178" i="102"/>
  <c r="AI178" i="102"/>
  <c r="CL173" i="102"/>
  <c r="AI173" i="102"/>
  <c r="CL170" i="102"/>
  <c r="CL274" i="102" s="1"/>
  <c r="AI170" i="102"/>
  <c r="AI274" i="102" s="1"/>
  <c r="CL163" i="102"/>
  <c r="CL273" i="102" s="1"/>
  <c r="AI163" i="102"/>
  <c r="AI273" i="102" s="1"/>
  <c r="CL162" i="102"/>
  <c r="AI162" i="102"/>
  <c r="CL159" i="102"/>
  <c r="AI159" i="102"/>
  <c r="CL156" i="102"/>
  <c r="CL280" i="102" s="1"/>
  <c r="AI156" i="102"/>
  <c r="AI280" i="102" s="1"/>
  <c r="CL155" i="102"/>
  <c r="AI155" i="102"/>
  <c r="CL152" i="102"/>
  <c r="AI152" i="102"/>
  <c r="CL147" i="102"/>
  <c r="CL272" i="102" s="1"/>
  <c r="AI147" i="102"/>
  <c r="AI272" i="102" s="1"/>
  <c r="CL146" i="102"/>
  <c r="CL271" i="102" s="1"/>
  <c r="AI146" i="102"/>
  <c r="AI271" i="102" s="1"/>
  <c r="CL145" i="102"/>
  <c r="CL270" i="102" s="1"/>
  <c r="AI145" i="102"/>
  <c r="AI270" i="102" s="1"/>
  <c r="CL140" i="102"/>
  <c r="AI140" i="102"/>
  <c r="CL133" i="102"/>
  <c r="AI133" i="102"/>
  <c r="CL132" i="102"/>
  <c r="AI132" i="102"/>
  <c r="CL131" i="102"/>
  <c r="AI131" i="102"/>
  <c r="CL130" i="102"/>
  <c r="AI130" i="102"/>
  <c r="CL126" i="102"/>
  <c r="CL136" i="102" s="1"/>
  <c r="AI126" i="102"/>
  <c r="AI136" i="102" s="1"/>
  <c r="CL135" i="102"/>
  <c r="AI135" i="102"/>
  <c r="CL40" i="102"/>
  <c r="AI40" i="102"/>
  <c r="CL28" i="102"/>
  <c r="CL30" i="102" s="1"/>
  <c r="AI28" i="102"/>
  <c r="AI30" i="102" s="1"/>
  <c r="CM266" i="102"/>
  <c r="CM276" i="102" s="1"/>
  <c r="CM262" i="102"/>
  <c r="CM275" i="102" s="1"/>
  <c r="CM179" i="102"/>
  <c r="CM178" i="102"/>
  <c r="CM173" i="102"/>
  <c r="CM170" i="102"/>
  <c r="CM274" i="102" s="1"/>
  <c r="CM163" i="102"/>
  <c r="CM180" i="102" s="1"/>
  <c r="CM162" i="102"/>
  <c r="CM159" i="102"/>
  <c r="CM156" i="102"/>
  <c r="CM280" i="102" s="1"/>
  <c r="CM155" i="102"/>
  <c r="CM152" i="102"/>
  <c r="CM147" i="102"/>
  <c r="CM272" i="102" s="1"/>
  <c r="CM146" i="102"/>
  <c r="CM271" i="102" s="1"/>
  <c r="CM145" i="102"/>
  <c r="CM270" i="102" s="1"/>
  <c r="CM140" i="102"/>
  <c r="CM133" i="102"/>
  <c r="CM132" i="102"/>
  <c r="CM131" i="102"/>
  <c r="CM130" i="102"/>
  <c r="CM126" i="102"/>
  <c r="CM136" i="102" s="1"/>
  <c r="CM135" i="102"/>
  <c r="CM40" i="102"/>
  <c r="CM28" i="102"/>
  <c r="CM30" i="102" s="1"/>
  <c r="CN266" i="102"/>
  <c r="CN276" i="102" s="1"/>
  <c r="CN262" i="102"/>
  <c r="CN275" i="102" s="1"/>
  <c r="CN179" i="102"/>
  <c r="CN178" i="102"/>
  <c r="CN173" i="102"/>
  <c r="CN170" i="102"/>
  <c r="CN274" i="102" s="1"/>
  <c r="CN163" i="102"/>
  <c r="CN180" i="102" s="1"/>
  <c r="CN162" i="102"/>
  <c r="CN159" i="102"/>
  <c r="CN156" i="102"/>
  <c r="CN280" i="102" s="1"/>
  <c r="CN155" i="102"/>
  <c r="CN152" i="102"/>
  <c r="CN147" i="102"/>
  <c r="CN272" i="102" s="1"/>
  <c r="CN146" i="102"/>
  <c r="CN271" i="102" s="1"/>
  <c r="CN145" i="102"/>
  <c r="CN270" i="102" s="1"/>
  <c r="CN140" i="102"/>
  <c r="CN133" i="102"/>
  <c r="CN132" i="102"/>
  <c r="CN131" i="102"/>
  <c r="CN130" i="102"/>
  <c r="CN126" i="102"/>
  <c r="CN136" i="102" s="1"/>
  <c r="CN135" i="102"/>
  <c r="CN40" i="102"/>
  <c r="CN28" i="102"/>
  <c r="CN30" i="102" s="1"/>
  <c r="BX266" i="102"/>
  <c r="BX276" i="102" s="1"/>
  <c r="AT266" i="102"/>
  <c r="AT276" i="102" s="1"/>
  <c r="AY266" i="102"/>
  <c r="AY276" i="102" s="1"/>
  <c r="K266" i="102"/>
  <c r="K276" i="102" s="1"/>
  <c r="AX266" i="102"/>
  <c r="AX276" i="102" s="1"/>
  <c r="BW266" i="102"/>
  <c r="BW276" i="102" s="1"/>
  <c r="AS266" i="102"/>
  <c r="AS276" i="102" s="1"/>
  <c r="AR266" i="102"/>
  <c r="AR276" i="102" s="1"/>
  <c r="BX262" i="102"/>
  <c r="BX275" i="102" s="1"/>
  <c r="AT262" i="102"/>
  <c r="AT275" i="102" s="1"/>
  <c r="AY262" i="102"/>
  <c r="AY275" i="102" s="1"/>
  <c r="K262" i="102"/>
  <c r="K275" i="102" s="1"/>
  <c r="AX262" i="102"/>
  <c r="AX275" i="102" s="1"/>
  <c r="BW262" i="102"/>
  <c r="BW275" i="102" s="1"/>
  <c r="AS262" i="102"/>
  <c r="AS275" i="102" s="1"/>
  <c r="AR262" i="102"/>
  <c r="AR275" i="102" s="1"/>
  <c r="BX179" i="102"/>
  <c r="AT179" i="102"/>
  <c r="AY179" i="102"/>
  <c r="K179" i="102"/>
  <c r="AX179" i="102"/>
  <c r="BW179" i="102"/>
  <c r="AS179" i="102"/>
  <c r="AR179" i="102"/>
  <c r="BX178" i="102"/>
  <c r="AT178" i="102"/>
  <c r="AY178" i="102"/>
  <c r="K178" i="102"/>
  <c r="AX178" i="102"/>
  <c r="BW178" i="102"/>
  <c r="AS178" i="102"/>
  <c r="AR178" i="102"/>
  <c r="BX173" i="102"/>
  <c r="AT173" i="102"/>
  <c r="AY173" i="102"/>
  <c r="K173" i="102"/>
  <c r="AX173" i="102"/>
  <c r="BW173" i="102"/>
  <c r="AS173" i="102"/>
  <c r="AR173" i="102"/>
  <c r="BX170" i="102"/>
  <c r="BX274" i="102" s="1"/>
  <c r="AT170" i="102"/>
  <c r="AT274" i="102" s="1"/>
  <c r="AY170" i="102"/>
  <c r="AY274" i="102" s="1"/>
  <c r="K170" i="102"/>
  <c r="K274" i="102" s="1"/>
  <c r="AX170" i="102"/>
  <c r="AX274" i="102" s="1"/>
  <c r="BW170" i="102"/>
  <c r="BW274" i="102" s="1"/>
  <c r="AS170" i="102"/>
  <c r="AS274" i="102" s="1"/>
  <c r="AR170" i="102"/>
  <c r="AR274" i="102" s="1"/>
  <c r="BX163" i="102"/>
  <c r="BX273" i="102" s="1"/>
  <c r="AT163" i="102"/>
  <c r="AT180" i="102" s="1"/>
  <c r="AY163" i="102"/>
  <c r="AY273" i="102" s="1"/>
  <c r="K163" i="102"/>
  <c r="K273" i="102" s="1"/>
  <c r="AX163" i="102"/>
  <c r="AX273" i="102" s="1"/>
  <c r="BW163" i="102"/>
  <c r="BW273" i="102" s="1"/>
  <c r="AS163" i="102"/>
  <c r="AS273" i="102" s="1"/>
  <c r="AR163" i="102"/>
  <c r="AR273" i="102" s="1"/>
  <c r="BX162" i="102"/>
  <c r="AT162" i="102"/>
  <c r="AY162" i="102"/>
  <c r="K162" i="102"/>
  <c r="AX162" i="102"/>
  <c r="BW162" i="102"/>
  <c r="AS162" i="102"/>
  <c r="AR162" i="102"/>
  <c r="BX159" i="102"/>
  <c r="AT159" i="102"/>
  <c r="AY159" i="102"/>
  <c r="K159" i="102"/>
  <c r="AX159" i="102"/>
  <c r="BW159" i="102"/>
  <c r="AS159" i="102"/>
  <c r="AR159" i="102"/>
  <c r="BX156" i="102"/>
  <c r="BX280" i="102" s="1"/>
  <c r="AT156" i="102"/>
  <c r="AT280" i="102" s="1"/>
  <c r="AY156" i="102"/>
  <c r="AY280" i="102" s="1"/>
  <c r="K156" i="102"/>
  <c r="K280" i="102" s="1"/>
  <c r="AX156" i="102"/>
  <c r="AX280" i="102" s="1"/>
  <c r="BW156" i="102"/>
  <c r="BW280" i="102" s="1"/>
  <c r="AS156" i="102"/>
  <c r="AS280" i="102" s="1"/>
  <c r="AR156" i="102"/>
  <c r="AR280" i="102" s="1"/>
  <c r="BX155" i="102"/>
  <c r="AT155" i="102"/>
  <c r="AY155" i="102"/>
  <c r="K155" i="102"/>
  <c r="AX155" i="102"/>
  <c r="BW155" i="102"/>
  <c r="AS155" i="102"/>
  <c r="AR155" i="102"/>
  <c r="BX152" i="102"/>
  <c r="AT152" i="102"/>
  <c r="AY152" i="102"/>
  <c r="K152" i="102"/>
  <c r="AX152" i="102"/>
  <c r="BW152" i="102"/>
  <c r="AS152" i="102"/>
  <c r="AR152" i="102"/>
  <c r="BX147" i="102"/>
  <c r="BX272" i="102" s="1"/>
  <c r="AT147" i="102"/>
  <c r="AT272" i="102" s="1"/>
  <c r="AY147" i="102"/>
  <c r="AY272" i="102" s="1"/>
  <c r="K147" i="102"/>
  <c r="K272" i="102" s="1"/>
  <c r="AX147" i="102"/>
  <c r="AX272" i="102" s="1"/>
  <c r="BW147" i="102"/>
  <c r="BW272" i="102" s="1"/>
  <c r="AS147" i="102"/>
  <c r="AS272" i="102" s="1"/>
  <c r="AR147" i="102"/>
  <c r="AR272" i="102" s="1"/>
  <c r="BX146" i="102"/>
  <c r="BX271" i="102" s="1"/>
  <c r="AT146" i="102"/>
  <c r="AT271" i="102" s="1"/>
  <c r="AY146" i="102"/>
  <c r="AY271" i="102" s="1"/>
  <c r="K146" i="102"/>
  <c r="K271" i="102" s="1"/>
  <c r="AX146" i="102"/>
  <c r="AX271" i="102" s="1"/>
  <c r="BW146" i="102"/>
  <c r="BW271" i="102" s="1"/>
  <c r="AS146" i="102"/>
  <c r="AS271" i="102" s="1"/>
  <c r="AR146" i="102"/>
  <c r="AR271" i="102" s="1"/>
  <c r="BX145" i="102"/>
  <c r="BX270" i="102" s="1"/>
  <c r="AT145" i="102"/>
  <c r="AT177" i="102" s="1"/>
  <c r="AY145" i="102"/>
  <c r="AY270" i="102" s="1"/>
  <c r="K145" i="102"/>
  <c r="K270" i="102" s="1"/>
  <c r="AX145" i="102"/>
  <c r="AX270" i="102" s="1"/>
  <c r="BW145" i="102"/>
  <c r="BW270" i="102" s="1"/>
  <c r="AS145" i="102"/>
  <c r="AS270" i="102" s="1"/>
  <c r="AR145" i="102"/>
  <c r="AR270" i="102" s="1"/>
  <c r="BX140" i="102"/>
  <c r="AT140" i="102"/>
  <c r="AY140" i="102"/>
  <c r="K140" i="102"/>
  <c r="AX140" i="102"/>
  <c r="BW140" i="102"/>
  <c r="AS140" i="102"/>
  <c r="AR140" i="102"/>
  <c r="BX133" i="102"/>
  <c r="AT133" i="102"/>
  <c r="AY133" i="102"/>
  <c r="K133" i="102"/>
  <c r="AX133" i="102"/>
  <c r="BW133" i="102"/>
  <c r="AS133" i="102"/>
  <c r="AR133" i="102"/>
  <c r="BX132" i="102"/>
  <c r="AT132" i="102"/>
  <c r="AY132" i="102"/>
  <c r="K132" i="102"/>
  <c r="AX132" i="102"/>
  <c r="BW132" i="102"/>
  <c r="AS132" i="102"/>
  <c r="AR132" i="102"/>
  <c r="BX131" i="102"/>
  <c r="AT131" i="102"/>
  <c r="AY131" i="102"/>
  <c r="K131" i="102"/>
  <c r="AX131" i="102"/>
  <c r="BW131" i="102"/>
  <c r="AS131" i="102"/>
  <c r="AR131" i="102"/>
  <c r="BX130" i="102"/>
  <c r="AT130" i="102"/>
  <c r="AY130" i="102"/>
  <c r="K130" i="102"/>
  <c r="AX130" i="102"/>
  <c r="BW130" i="102"/>
  <c r="AS130" i="102"/>
  <c r="AR130" i="102"/>
  <c r="BX126" i="102"/>
  <c r="BX136" i="102" s="1"/>
  <c r="AT126" i="102"/>
  <c r="AT136" i="102" s="1"/>
  <c r="AY126" i="102"/>
  <c r="AY136" i="102" s="1"/>
  <c r="K126" i="102"/>
  <c r="K136" i="102" s="1"/>
  <c r="AX126" i="102"/>
  <c r="AX136" i="102" s="1"/>
  <c r="BW126" i="102"/>
  <c r="BW136" i="102" s="1"/>
  <c r="AS126" i="102"/>
  <c r="AS136" i="102" s="1"/>
  <c r="AR126" i="102"/>
  <c r="AR136" i="102" s="1"/>
  <c r="BX135" i="102"/>
  <c r="AT135" i="102"/>
  <c r="AY135" i="102"/>
  <c r="K135" i="102"/>
  <c r="AX135" i="102"/>
  <c r="BW135" i="102"/>
  <c r="AS135" i="102"/>
  <c r="AR135" i="102"/>
  <c r="BX40" i="102"/>
  <c r="AT40" i="102"/>
  <c r="AY40" i="102"/>
  <c r="K40" i="102"/>
  <c r="AX40" i="102"/>
  <c r="BW40" i="102"/>
  <c r="AS40" i="102"/>
  <c r="AR40" i="102"/>
  <c r="BX28" i="102"/>
  <c r="BX30" i="102" s="1"/>
  <c r="AT28" i="102"/>
  <c r="AT30" i="102" s="1"/>
  <c r="AY28" i="102"/>
  <c r="AY30" i="102" s="1"/>
  <c r="K28" i="102"/>
  <c r="K30" i="102" s="1"/>
  <c r="K134" i="102" s="1"/>
  <c r="AX28" i="102"/>
  <c r="AX30" i="102" s="1"/>
  <c r="BW28" i="102"/>
  <c r="BW30" i="102" s="1"/>
  <c r="BW134" i="102" s="1"/>
  <c r="AS28" i="102"/>
  <c r="AS30" i="102" s="1"/>
  <c r="AR28" i="102"/>
  <c r="AR30" i="102" s="1"/>
  <c r="CB266" i="102"/>
  <c r="CB276" i="102" s="1"/>
  <c r="CA266" i="102"/>
  <c r="CA276" i="102" s="1"/>
  <c r="BY266" i="102"/>
  <c r="BY276" i="102" s="1"/>
  <c r="CB262" i="102"/>
  <c r="CB275" i="102" s="1"/>
  <c r="CA262" i="102"/>
  <c r="CA275" i="102" s="1"/>
  <c r="BY262" i="102"/>
  <c r="BY275" i="102" s="1"/>
  <c r="CB179" i="102"/>
  <c r="CA179" i="102"/>
  <c r="BY179" i="102"/>
  <c r="CB178" i="102"/>
  <c r="CA178" i="102"/>
  <c r="BY178" i="102"/>
  <c r="CB173" i="102"/>
  <c r="CA173" i="102"/>
  <c r="BY173" i="102"/>
  <c r="CB170" i="102"/>
  <c r="CB274" i="102" s="1"/>
  <c r="CA170" i="102"/>
  <c r="CA274" i="102" s="1"/>
  <c r="BY170" i="102"/>
  <c r="BY274" i="102" s="1"/>
  <c r="CB163" i="102"/>
  <c r="CB273" i="102" s="1"/>
  <c r="CA163" i="102"/>
  <c r="CA273" i="102" s="1"/>
  <c r="BY163" i="102"/>
  <c r="BY273" i="102" s="1"/>
  <c r="CB162" i="102"/>
  <c r="CA162" i="102"/>
  <c r="BY162" i="102"/>
  <c r="CB159" i="102"/>
  <c r="CA159" i="102"/>
  <c r="BY159" i="102"/>
  <c r="CB156" i="102"/>
  <c r="CB280" i="102" s="1"/>
  <c r="CA156" i="102"/>
  <c r="CA280" i="102" s="1"/>
  <c r="BY156" i="102"/>
  <c r="BY280" i="102" s="1"/>
  <c r="CB155" i="102"/>
  <c r="CA155" i="102"/>
  <c r="BY155" i="102"/>
  <c r="CB152" i="102"/>
  <c r="CA152" i="102"/>
  <c r="BY152" i="102"/>
  <c r="CB147" i="102"/>
  <c r="CB272" i="102" s="1"/>
  <c r="CA147" i="102"/>
  <c r="CA272" i="102" s="1"/>
  <c r="BY147" i="102"/>
  <c r="BY272" i="102" s="1"/>
  <c r="CB146" i="102"/>
  <c r="CB271" i="102" s="1"/>
  <c r="CA146" i="102"/>
  <c r="CA271" i="102" s="1"/>
  <c r="BY146" i="102"/>
  <c r="BY271" i="102" s="1"/>
  <c r="CB145" i="102"/>
  <c r="CB270" i="102" s="1"/>
  <c r="CA145" i="102"/>
  <c r="CA270" i="102" s="1"/>
  <c r="BY145" i="102"/>
  <c r="BY270" i="102" s="1"/>
  <c r="CB140" i="102"/>
  <c r="CA140" i="102"/>
  <c r="BY140" i="102"/>
  <c r="CB133" i="102"/>
  <c r="CA133" i="102"/>
  <c r="BY133" i="102"/>
  <c r="CB132" i="102"/>
  <c r="CA132" i="102"/>
  <c r="BY132" i="102"/>
  <c r="CB131" i="102"/>
  <c r="CA131" i="102"/>
  <c r="BY131" i="102"/>
  <c r="CB130" i="102"/>
  <c r="CA130" i="102"/>
  <c r="BY130" i="102"/>
  <c r="CB126" i="102"/>
  <c r="CB136" i="102" s="1"/>
  <c r="CA126" i="102"/>
  <c r="CA136" i="102" s="1"/>
  <c r="BY126" i="102"/>
  <c r="BY136" i="102" s="1"/>
  <c r="CB135" i="102"/>
  <c r="CA135" i="102"/>
  <c r="BY135" i="102"/>
  <c r="CB40" i="102"/>
  <c r="CA40" i="102"/>
  <c r="BY40" i="102"/>
  <c r="CB28" i="102"/>
  <c r="CB30" i="102" s="1"/>
  <c r="CA28" i="102"/>
  <c r="CA30" i="102" s="1"/>
  <c r="BY28" i="102"/>
  <c r="BY30" i="102" s="1"/>
  <c r="CD266" i="102"/>
  <c r="CD276" i="102" s="1"/>
  <c r="CC266" i="102"/>
  <c r="CC276" i="102" s="1"/>
  <c r="CD262" i="102"/>
  <c r="CD275" i="102" s="1"/>
  <c r="CC262" i="102"/>
  <c r="CC275" i="102" s="1"/>
  <c r="CD179" i="102"/>
  <c r="CC179" i="102"/>
  <c r="CD178" i="102"/>
  <c r="CC178" i="102"/>
  <c r="CD173" i="102"/>
  <c r="CC173" i="102"/>
  <c r="CD170" i="102"/>
  <c r="CD274" i="102" s="1"/>
  <c r="CC170" i="102"/>
  <c r="CC274" i="102" s="1"/>
  <c r="CD163" i="102"/>
  <c r="CD273" i="102" s="1"/>
  <c r="CC163" i="102"/>
  <c r="CC273" i="102" s="1"/>
  <c r="CD162" i="102"/>
  <c r="CC162" i="102"/>
  <c r="CD159" i="102"/>
  <c r="CC159" i="102"/>
  <c r="CD156" i="102"/>
  <c r="CD280" i="102" s="1"/>
  <c r="CC156" i="102"/>
  <c r="CC280" i="102" s="1"/>
  <c r="CD155" i="102"/>
  <c r="CC155" i="102"/>
  <c r="CD152" i="102"/>
  <c r="CC152" i="102"/>
  <c r="CD147" i="102"/>
  <c r="CD272" i="102" s="1"/>
  <c r="CC147" i="102"/>
  <c r="CC272" i="102" s="1"/>
  <c r="CD146" i="102"/>
  <c r="CD271" i="102" s="1"/>
  <c r="CC146" i="102"/>
  <c r="CC271" i="102" s="1"/>
  <c r="CD145" i="102"/>
  <c r="CD270" i="102" s="1"/>
  <c r="CC145" i="102"/>
  <c r="CC177" i="102" s="1"/>
  <c r="CD140" i="102"/>
  <c r="CC140" i="102"/>
  <c r="CD133" i="102"/>
  <c r="CC133" i="102"/>
  <c r="CD132" i="102"/>
  <c r="CC132" i="102"/>
  <c r="CD131" i="102"/>
  <c r="CC131" i="102"/>
  <c r="CD130" i="102"/>
  <c r="CC130" i="102"/>
  <c r="CD126" i="102"/>
  <c r="CD136" i="102" s="1"/>
  <c r="CC126" i="102"/>
  <c r="CC136" i="102" s="1"/>
  <c r="CD135" i="102"/>
  <c r="CC135" i="102"/>
  <c r="CD40" i="102"/>
  <c r="CC40" i="102"/>
  <c r="CD28" i="102"/>
  <c r="CD30" i="102" s="1"/>
  <c r="CC28" i="102"/>
  <c r="CC30" i="102" s="1"/>
  <c r="BP266" i="102"/>
  <c r="BP276" i="102" s="1"/>
  <c r="BO266" i="102"/>
  <c r="BO276" i="102" s="1"/>
  <c r="BN266" i="102"/>
  <c r="BN276" i="102" s="1"/>
  <c r="BM266" i="102"/>
  <c r="BM276" i="102" s="1"/>
  <c r="BL266" i="102"/>
  <c r="BL276" i="102" s="1"/>
  <c r="AQ266" i="102"/>
  <c r="AQ276" i="102" s="1"/>
  <c r="BK266" i="102"/>
  <c r="BK276" i="102" s="1"/>
  <c r="BJ266" i="102"/>
  <c r="BJ276" i="102" s="1"/>
  <c r="BP262" i="102"/>
  <c r="BP275" i="102" s="1"/>
  <c r="BO262" i="102"/>
  <c r="BO275" i="102" s="1"/>
  <c r="BN262" i="102"/>
  <c r="BN275" i="102" s="1"/>
  <c r="BM262" i="102"/>
  <c r="BM275" i="102" s="1"/>
  <c r="BL262" i="102"/>
  <c r="BL275" i="102" s="1"/>
  <c r="AQ262" i="102"/>
  <c r="AQ275" i="102" s="1"/>
  <c r="BK262" i="102"/>
  <c r="BK275" i="102" s="1"/>
  <c r="BJ262" i="102"/>
  <c r="BJ275" i="102" s="1"/>
  <c r="BP179" i="102"/>
  <c r="BO179" i="102"/>
  <c r="BN179" i="102"/>
  <c r="BM179" i="102"/>
  <c r="BL179" i="102"/>
  <c r="AQ179" i="102"/>
  <c r="BK179" i="102"/>
  <c r="BJ179" i="102"/>
  <c r="BP178" i="102"/>
  <c r="BO178" i="102"/>
  <c r="BN178" i="102"/>
  <c r="BM178" i="102"/>
  <c r="BL178" i="102"/>
  <c r="AQ178" i="102"/>
  <c r="BK178" i="102"/>
  <c r="BJ178" i="102"/>
  <c r="BP173" i="102"/>
  <c r="BO173" i="102"/>
  <c r="BN173" i="102"/>
  <c r="BM173" i="102"/>
  <c r="BL173" i="102"/>
  <c r="AQ173" i="102"/>
  <c r="BK173" i="102"/>
  <c r="BJ173" i="102"/>
  <c r="BP170" i="102"/>
  <c r="BP274" i="102" s="1"/>
  <c r="BO170" i="102"/>
  <c r="BO274" i="102" s="1"/>
  <c r="BN170" i="102"/>
  <c r="BN274" i="102" s="1"/>
  <c r="BM170" i="102"/>
  <c r="BM274" i="102" s="1"/>
  <c r="BL170" i="102"/>
  <c r="BL274" i="102" s="1"/>
  <c r="AQ170" i="102"/>
  <c r="AQ274" i="102" s="1"/>
  <c r="BK170" i="102"/>
  <c r="BK274" i="102" s="1"/>
  <c r="BJ170" i="102"/>
  <c r="BJ274" i="102" s="1"/>
  <c r="BP163" i="102"/>
  <c r="BP273" i="102" s="1"/>
  <c r="BO163" i="102"/>
  <c r="BO273" i="102" s="1"/>
  <c r="BN163" i="102"/>
  <c r="BN273" i="102" s="1"/>
  <c r="BM163" i="102"/>
  <c r="BM273" i="102" s="1"/>
  <c r="BL163" i="102"/>
  <c r="BL273" i="102" s="1"/>
  <c r="AQ163" i="102"/>
  <c r="AQ273" i="102" s="1"/>
  <c r="BK163" i="102"/>
  <c r="BK273" i="102" s="1"/>
  <c r="BJ163" i="102"/>
  <c r="BJ180" i="102" s="1"/>
  <c r="BP162" i="102"/>
  <c r="BO162" i="102"/>
  <c r="BN162" i="102"/>
  <c r="BM162" i="102"/>
  <c r="BL162" i="102"/>
  <c r="AQ162" i="102"/>
  <c r="BK162" i="102"/>
  <c r="BJ162" i="102"/>
  <c r="BP159" i="102"/>
  <c r="BO159" i="102"/>
  <c r="BN159" i="102"/>
  <c r="BM159" i="102"/>
  <c r="BL159" i="102"/>
  <c r="AQ159" i="102"/>
  <c r="BK159" i="102"/>
  <c r="BJ159" i="102"/>
  <c r="BP156" i="102"/>
  <c r="BP280" i="102" s="1"/>
  <c r="BO156" i="102"/>
  <c r="BO280" i="102" s="1"/>
  <c r="BN156" i="102"/>
  <c r="BN280" i="102" s="1"/>
  <c r="BM156" i="102"/>
  <c r="BM280" i="102" s="1"/>
  <c r="BL156" i="102"/>
  <c r="BL280" i="102" s="1"/>
  <c r="AQ156" i="102"/>
  <c r="AQ280" i="102" s="1"/>
  <c r="BK156" i="102"/>
  <c r="BK280" i="102" s="1"/>
  <c r="BJ156" i="102"/>
  <c r="BJ280" i="102" s="1"/>
  <c r="BP155" i="102"/>
  <c r="BO155" i="102"/>
  <c r="BN155" i="102"/>
  <c r="BM155" i="102"/>
  <c r="BL155" i="102"/>
  <c r="AQ155" i="102"/>
  <c r="BK155" i="102"/>
  <c r="BJ155" i="102"/>
  <c r="BP152" i="102"/>
  <c r="BO152" i="102"/>
  <c r="BN152" i="102"/>
  <c r="BM152" i="102"/>
  <c r="BL152" i="102"/>
  <c r="AQ152" i="102"/>
  <c r="BK152" i="102"/>
  <c r="BJ152" i="102"/>
  <c r="BP147" i="102"/>
  <c r="BP272" i="102" s="1"/>
  <c r="BO147" i="102"/>
  <c r="BO272" i="102" s="1"/>
  <c r="BN147" i="102"/>
  <c r="BN272" i="102" s="1"/>
  <c r="BM147" i="102"/>
  <c r="BM272" i="102" s="1"/>
  <c r="BL147" i="102"/>
  <c r="BL272" i="102" s="1"/>
  <c r="AQ147" i="102"/>
  <c r="AQ272" i="102" s="1"/>
  <c r="BK147" i="102"/>
  <c r="BK272" i="102" s="1"/>
  <c r="BJ147" i="102"/>
  <c r="BJ272" i="102" s="1"/>
  <c r="BP146" i="102"/>
  <c r="BP271" i="102" s="1"/>
  <c r="BO146" i="102"/>
  <c r="BO271" i="102" s="1"/>
  <c r="BN146" i="102"/>
  <c r="BN271" i="102" s="1"/>
  <c r="BM146" i="102"/>
  <c r="BM271" i="102" s="1"/>
  <c r="BL146" i="102"/>
  <c r="BL271" i="102" s="1"/>
  <c r="AQ146" i="102"/>
  <c r="AQ271" i="102" s="1"/>
  <c r="BK146" i="102"/>
  <c r="BK271" i="102" s="1"/>
  <c r="BJ146" i="102"/>
  <c r="BJ271" i="102" s="1"/>
  <c r="BP145" i="102"/>
  <c r="BP270" i="102" s="1"/>
  <c r="BO145" i="102"/>
  <c r="BO270" i="102" s="1"/>
  <c r="BN145" i="102"/>
  <c r="BN270" i="102" s="1"/>
  <c r="BM145" i="102"/>
  <c r="BM270" i="102" s="1"/>
  <c r="BL145" i="102"/>
  <c r="BL270" i="102" s="1"/>
  <c r="AQ145" i="102"/>
  <c r="AQ270" i="102" s="1"/>
  <c r="BK145" i="102"/>
  <c r="BK270" i="102" s="1"/>
  <c r="BJ145" i="102"/>
  <c r="BJ177" i="102" s="1"/>
  <c r="BP140" i="102"/>
  <c r="BO140" i="102"/>
  <c r="BN140" i="102"/>
  <c r="BM140" i="102"/>
  <c r="BL140" i="102"/>
  <c r="AQ140" i="102"/>
  <c r="BK140" i="102"/>
  <c r="BJ140" i="102"/>
  <c r="BP133" i="102"/>
  <c r="BO133" i="102"/>
  <c r="BN133" i="102"/>
  <c r="BM133" i="102"/>
  <c r="BL133" i="102"/>
  <c r="AQ133" i="102"/>
  <c r="BK133" i="102"/>
  <c r="BJ133" i="102"/>
  <c r="BP132" i="102"/>
  <c r="BO132" i="102"/>
  <c r="BN132" i="102"/>
  <c r="BM132" i="102"/>
  <c r="BL132" i="102"/>
  <c r="AQ132" i="102"/>
  <c r="BK132" i="102"/>
  <c r="BJ132" i="102"/>
  <c r="BP131" i="102"/>
  <c r="BO131" i="102"/>
  <c r="BN131" i="102"/>
  <c r="BM131" i="102"/>
  <c r="BL131" i="102"/>
  <c r="AQ131" i="102"/>
  <c r="BK131" i="102"/>
  <c r="BJ131" i="102"/>
  <c r="BP130" i="102"/>
  <c r="BO130" i="102"/>
  <c r="BN130" i="102"/>
  <c r="BM130" i="102"/>
  <c r="BL130" i="102"/>
  <c r="AQ130" i="102"/>
  <c r="BK130" i="102"/>
  <c r="BJ130" i="102"/>
  <c r="BP126" i="102"/>
  <c r="BP136" i="102" s="1"/>
  <c r="BO126" i="102"/>
  <c r="BO136" i="102" s="1"/>
  <c r="BN126" i="102"/>
  <c r="BN136" i="102" s="1"/>
  <c r="BM126" i="102"/>
  <c r="BM136" i="102" s="1"/>
  <c r="BL126" i="102"/>
  <c r="BL136" i="102" s="1"/>
  <c r="AQ126" i="102"/>
  <c r="AQ136" i="102" s="1"/>
  <c r="BK126" i="102"/>
  <c r="BK136" i="102" s="1"/>
  <c r="BJ126" i="102"/>
  <c r="BJ136" i="102" s="1"/>
  <c r="BP135" i="102"/>
  <c r="BO135" i="102"/>
  <c r="BN135" i="102"/>
  <c r="BM135" i="102"/>
  <c r="BL135" i="102"/>
  <c r="AQ135" i="102"/>
  <c r="BK135" i="102"/>
  <c r="BJ135" i="102"/>
  <c r="BP40" i="102"/>
  <c r="BO40" i="102"/>
  <c r="BN40" i="102"/>
  <c r="BM40" i="102"/>
  <c r="BL40" i="102"/>
  <c r="AQ40" i="102"/>
  <c r="BK40" i="102"/>
  <c r="BJ40" i="102"/>
  <c r="BP28" i="102"/>
  <c r="BP30" i="102" s="1"/>
  <c r="BO28" i="102"/>
  <c r="BO30" i="102" s="1"/>
  <c r="BN28" i="102"/>
  <c r="BN30" i="102" s="1"/>
  <c r="BM28" i="102"/>
  <c r="BM30" i="102" s="1"/>
  <c r="BL28" i="102"/>
  <c r="BL30" i="102" s="1"/>
  <c r="AQ28" i="102"/>
  <c r="AQ30" i="102" s="1"/>
  <c r="BK28" i="102"/>
  <c r="BK30" i="102" s="1"/>
  <c r="BJ28" i="102"/>
  <c r="BJ30" i="102" s="1"/>
  <c r="BT266" i="102"/>
  <c r="BT276" i="102" s="1"/>
  <c r="BS266" i="102"/>
  <c r="BS276" i="102" s="1"/>
  <c r="BR266" i="102"/>
  <c r="BR276" i="102" s="1"/>
  <c r="BQ266" i="102"/>
  <c r="BQ276" i="102" s="1"/>
  <c r="BT262" i="102"/>
  <c r="BT275" i="102" s="1"/>
  <c r="BS262" i="102"/>
  <c r="BS275" i="102" s="1"/>
  <c r="BR262" i="102"/>
  <c r="BR275" i="102" s="1"/>
  <c r="BQ262" i="102"/>
  <c r="BQ275" i="102" s="1"/>
  <c r="BT179" i="102"/>
  <c r="BS179" i="102"/>
  <c r="BR179" i="102"/>
  <c r="BQ179" i="102"/>
  <c r="BT178" i="102"/>
  <c r="BS178" i="102"/>
  <c r="BR178" i="102"/>
  <c r="BQ178" i="102"/>
  <c r="BT173" i="102"/>
  <c r="BS173" i="102"/>
  <c r="BR173" i="102"/>
  <c r="BQ173" i="102"/>
  <c r="BT170" i="102"/>
  <c r="BT274" i="102" s="1"/>
  <c r="BS170" i="102"/>
  <c r="BS274" i="102" s="1"/>
  <c r="BR170" i="102"/>
  <c r="BR274" i="102" s="1"/>
  <c r="BQ170" i="102"/>
  <c r="BQ274" i="102" s="1"/>
  <c r="BT163" i="102"/>
  <c r="BT273" i="102" s="1"/>
  <c r="BS163" i="102"/>
  <c r="BS273" i="102" s="1"/>
  <c r="BR163" i="102"/>
  <c r="BR273" i="102" s="1"/>
  <c r="BQ163" i="102"/>
  <c r="BQ273" i="102" s="1"/>
  <c r="BT162" i="102"/>
  <c r="BS162" i="102"/>
  <c r="BR162" i="102"/>
  <c r="BQ162" i="102"/>
  <c r="BT159" i="102"/>
  <c r="BS159" i="102"/>
  <c r="BR159" i="102"/>
  <c r="BQ159" i="102"/>
  <c r="BT156" i="102"/>
  <c r="BT280" i="102" s="1"/>
  <c r="BS156" i="102"/>
  <c r="BS280" i="102" s="1"/>
  <c r="BR156" i="102"/>
  <c r="BR280" i="102" s="1"/>
  <c r="BQ156" i="102"/>
  <c r="BQ280" i="102" s="1"/>
  <c r="BT155" i="102"/>
  <c r="BS155" i="102"/>
  <c r="BR155" i="102"/>
  <c r="BQ155" i="102"/>
  <c r="BT152" i="102"/>
  <c r="BS152" i="102"/>
  <c r="BR152" i="102"/>
  <c r="BQ152" i="102"/>
  <c r="BT147" i="102"/>
  <c r="BT272" i="102" s="1"/>
  <c r="BS147" i="102"/>
  <c r="BS272" i="102" s="1"/>
  <c r="BR147" i="102"/>
  <c r="BR272" i="102" s="1"/>
  <c r="BQ147" i="102"/>
  <c r="BQ272" i="102" s="1"/>
  <c r="BT146" i="102"/>
  <c r="BT271" i="102" s="1"/>
  <c r="BS146" i="102"/>
  <c r="BS271" i="102" s="1"/>
  <c r="BR146" i="102"/>
  <c r="BR271" i="102" s="1"/>
  <c r="BQ146" i="102"/>
  <c r="BQ271" i="102" s="1"/>
  <c r="BT145" i="102"/>
  <c r="BT270" i="102" s="1"/>
  <c r="BS145" i="102"/>
  <c r="BS270" i="102" s="1"/>
  <c r="BR145" i="102"/>
  <c r="BR270" i="102" s="1"/>
  <c r="BQ145" i="102"/>
  <c r="BQ177" i="102" s="1"/>
  <c r="BT140" i="102"/>
  <c r="BS140" i="102"/>
  <c r="BR140" i="102"/>
  <c r="BQ140" i="102"/>
  <c r="BT133" i="102"/>
  <c r="BS133" i="102"/>
  <c r="BR133" i="102"/>
  <c r="BQ133" i="102"/>
  <c r="BT132" i="102"/>
  <c r="BS132" i="102"/>
  <c r="BR132" i="102"/>
  <c r="BQ132" i="102"/>
  <c r="BT131" i="102"/>
  <c r="BS131" i="102"/>
  <c r="BR131" i="102"/>
  <c r="BQ131" i="102"/>
  <c r="BT130" i="102"/>
  <c r="BS130" i="102"/>
  <c r="BR130" i="102"/>
  <c r="BQ130" i="102"/>
  <c r="BT126" i="102"/>
  <c r="BT136" i="102" s="1"/>
  <c r="BS126" i="102"/>
  <c r="BS136" i="102" s="1"/>
  <c r="BR126" i="102"/>
  <c r="BR136" i="102" s="1"/>
  <c r="BQ126" i="102"/>
  <c r="BQ136" i="102" s="1"/>
  <c r="BT135" i="102"/>
  <c r="BS135" i="102"/>
  <c r="BR135" i="102"/>
  <c r="BQ135" i="102"/>
  <c r="BT40" i="102"/>
  <c r="BS40" i="102"/>
  <c r="BR40" i="102"/>
  <c r="BQ40" i="102"/>
  <c r="BT28" i="102"/>
  <c r="BT30" i="102" s="1"/>
  <c r="BS28" i="102"/>
  <c r="BS30" i="102" s="1"/>
  <c r="BR28" i="102"/>
  <c r="BR30" i="102" s="1"/>
  <c r="BQ28" i="102"/>
  <c r="BQ30" i="102" s="1"/>
  <c r="BU266" i="102"/>
  <c r="BU276" i="102" s="1"/>
  <c r="BV266" i="102"/>
  <c r="BV276" i="102" s="1"/>
  <c r="BU262" i="102"/>
  <c r="BU275" i="102" s="1"/>
  <c r="BV262" i="102"/>
  <c r="BV275" i="102" s="1"/>
  <c r="BU179" i="102"/>
  <c r="BV179" i="102"/>
  <c r="BU178" i="102"/>
  <c r="BV178" i="102"/>
  <c r="BU173" i="102"/>
  <c r="BV173" i="102"/>
  <c r="BU170" i="102"/>
  <c r="BU274" i="102" s="1"/>
  <c r="BV170" i="102"/>
  <c r="BV274" i="102" s="1"/>
  <c r="BU163" i="102"/>
  <c r="BU273" i="102" s="1"/>
  <c r="BV163" i="102"/>
  <c r="BV273" i="102" s="1"/>
  <c r="BU162" i="102"/>
  <c r="BV162" i="102"/>
  <c r="BU159" i="102"/>
  <c r="BV159" i="102"/>
  <c r="BU156" i="102"/>
  <c r="BU280" i="102" s="1"/>
  <c r="BV156" i="102"/>
  <c r="BV280" i="102" s="1"/>
  <c r="BU155" i="102"/>
  <c r="BV155" i="102"/>
  <c r="BU152" i="102"/>
  <c r="BV152" i="102"/>
  <c r="BU147" i="102"/>
  <c r="BU272" i="102" s="1"/>
  <c r="BV147" i="102"/>
  <c r="BV272" i="102" s="1"/>
  <c r="BU146" i="102"/>
  <c r="BU271" i="102" s="1"/>
  <c r="BV146" i="102"/>
  <c r="BV271" i="102" s="1"/>
  <c r="BU145" i="102"/>
  <c r="BU270" i="102" s="1"/>
  <c r="BV145" i="102"/>
  <c r="BV270" i="102" s="1"/>
  <c r="BU140" i="102"/>
  <c r="BV140" i="102"/>
  <c r="BU133" i="102"/>
  <c r="BV133" i="102"/>
  <c r="BU132" i="102"/>
  <c r="BV132" i="102"/>
  <c r="BU131" i="102"/>
  <c r="BV131" i="102"/>
  <c r="BU130" i="102"/>
  <c r="BV130" i="102"/>
  <c r="BU126" i="102"/>
  <c r="BU136" i="102" s="1"/>
  <c r="BV126" i="102"/>
  <c r="BV136" i="102" s="1"/>
  <c r="BU135" i="102"/>
  <c r="BV135" i="102"/>
  <c r="BU40" i="102"/>
  <c r="BV40" i="102"/>
  <c r="BU28" i="102"/>
  <c r="BU30" i="102" s="1"/>
  <c r="BV28" i="102"/>
  <c r="BV30" i="102" s="1"/>
  <c r="AD266" i="102"/>
  <c r="AD276" i="102" s="1"/>
  <c r="P266" i="102"/>
  <c r="P276" i="102" s="1"/>
  <c r="AC266" i="102"/>
  <c r="AC276" i="102" s="1"/>
  <c r="AB266" i="102"/>
  <c r="AB276" i="102" s="1"/>
  <c r="AA266" i="102"/>
  <c r="AA276" i="102" s="1"/>
  <c r="BG266" i="102"/>
  <c r="BG276" i="102" s="1"/>
  <c r="BF266" i="102"/>
  <c r="BF276" i="102" s="1"/>
  <c r="BE266" i="102"/>
  <c r="BE276" i="102" s="1"/>
  <c r="X266" i="102"/>
  <c r="X276" i="102" s="1"/>
  <c r="W266" i="102"/>
  <c r="W276" i="102" s="1"/>
  <c r="AL266" i="102"/>
  <c r="AL276" i="102" s="1"/>
  <c r="BD266" i="102"/>
  <c r="BD276" i="102" s="1"/>
  <c r="AW266" i="102"/>
  <c r="AW276" i="102" s="1"/>
  <c r="V266" i="102"/>
  <c r="V276" i="102" s="1"/>
  <c r="O266" i="102"/>
  <c r="O276" i="102" s="1"/>
  <c r="U266" i="102"/>
  <c r="U276" i="102" s="1"/>
  <c r="AD262" i="102"/>
  <c r="AD275" i="102" s="1"/>
  <c r="P262" i="102"/>
  <c r="P275" i="102" s="1"/>
  <c r="AC262" i="102"/>
  <c r="AC275" i="102" s="1"/>
  <c r="AB262" i="102"/>
  <c r="AB275" i="102" s="1"/>
  <c r="AA262" i="102"/>
  <c r="AA275" i="102" s="1"/>
  <c r="BG262" i="102"/>
  <c r="BG275" i="102" s="1"/>
  <c r="BF262" i="102"/>
  <c r="BF275" i="102" s="1"/>
  <c r="BE262" i="102"/>
  <c r="BE275" i="102" s="1"/>
  <c r="X262" i="102"/>
  <c r="X275" i="102" s="1"/>
  <c r="W262" i="102"/>
  <c r="W275" i="102" s="1"/>
  <c r="AL262" i="102"/>
  <c r="AL275" i="102" s="1"/>
  <c r="BD262" i="102"/>
  <c r="BD275" i="102" s="1"/>
  <c r="AW262" i="102"/>
  <c r="AW275" i="102" s="1"/>
  <c r="V262" i="102"/>
  <c r="V275" i="102" s="1"/>
  <c r="O262" i="102"/>
  <c r="O275" i="102" s="1"/>
  <c r="U262" i="102"/>
  <c r="U275" i="102" s="1"/>
  <c r="AD179" i="102"/>
  <c r="P179" i="102"/>
  <c r="AC179" i="102"/>
  <c r="AB179" i="102"/>
  <c r="AA179" i="102"/>
  <c r="BG179" i="102"/>
  <c r="BF179" i="102"/>
  <c r="BE179" i="102"/>
  <c r="X179" i="102"/>
  <c r="W179" i="102"/>
  <c r="AL179" i="102"/>
  <c r="BD179" i="102"/>
  <c r="AW179" i="102"/>
  <c r="V179" i="102"/>
  <c r="O179" i="102"/>
  <c r="U179" i="102"/>
  <c r="AD178" i="102"/>
  <c r="P178" i="102"/>
  <c r="AC178" i="102"/>
  <c r="AB178" i="102"/>
  <c r="AA178" i="102"/>
  <c r="BG178" i="102"/>
  <c r="BF178" i="102"/>
  <c r="BE178" i="102"/>
  <c r="X178" i="102"/>
  <c r="W178" i="102"/>
  <c r="AL178" i="102"/>
  <c r="BD178" i="102"/>
  <c r="AW178" i="102"/>
  <c r="V178" i="102"/>
  <c r="O178" i="102"/>
  <c r="U178" i="102"/>
  <c r="AD173" i="102"/>
  <c r="P173" i="102"/>
  <c r="AC173" i="102"/>
  <c r="AB173" i="102"/>
  <c r="AA173" i="102"/>
  <c r="BG173" i="102"/>
  <c r="BF173" i="102"/>
  <c r="BE173" i="102"/>
  <c r="X173" i="102"/>
  <c r="W173" i="102"/>
  <c r="AL173" i="102"/>
  <c r="BD173" i="102"/>
  <c r="AW173" i="102"/>
  <c r="V173" i="102"/>
  <c r="O173" i="102"/>
  <c r="U173" i="102"/>
  <c r="AD170" i="102"/>
  <c r="AD274" i="102" s="1"/>
  <c r="P170" i="102"/>
  <c r="P274" i="102" s="1"/>
  <c r="AC170" i="102"/>
  <c r="AB170" i="102"/>
  <c r="AB274" i="102" s="1"/>
  <c r="AA170" i="102"/>
  <c r="AA274" i="102" s="1"/>
  <c r="BG170" i="102"/>
  <c r="BG274" i="102" s="1"/>
  <c r="BF170" i="102"/>
  <c r="BF274" i="102" s="1"/>
  <c r="BE170" i="102"/>
  <c r="BE274" i="102" s="1"/>
  <c r="X170" i="102"/>
  <c r="X274" i="102" s="1"/>
  <c r="W170" i="102"/>
  <c r="W274" i="102" s="1"/>
  <c r="AL170" i="102"/>
  <c r="AL274" i="102" s="1"/>
  <c r="BD170" i="102"/>
  <c r="BD274" i="102" s="1"/>
  <c r="AW170" i="102"/>
  <c r="V170" i="102"/>
  <c r="V274" i="102" s="1"/>
  <c r="O170" i="102"/>
  <c r="O274" i="102" s="1"/>
  <c r="U170" i="102"/>
  <c r="U274" i="102" s="1"/>
  <c r="AD163" i="102"/>
  <c r="AD273" i="102" s="1"/>
  <c r="P163" i="102"/>
  <c r="P180" i="102" s="1"/>
  <c r="AC163" i="102"/>
  <c r="AC273" i="102" s="1"/>
  <c r="AB163" i="102"/>
  <c r="AB273" i="102" s="1"/>
  <c r="AA163" i="102"/>
  <c r="AA273" i="102" s="1"/>
  <c r="BG163" i="102"/>
  <c r="BF163" i="102"/>
  <c r="BF273" i="102" s="1"/>
  <c r="BE163" i="102"/>
  <c r="BE273" i="102" s="1"/>
  <c r="X163" i="102"/>
  <c r="X273" i="102" s="1"/>
  <c r="W163" i="102"/>
  <c r="W180" i="102" s="1"/>
  <c r="AL163" i="102"/>
  <c r="AL180" i="102" s="1"/>
  <c r="BD163" i="102"/>
  <c r="BD273" i="102" s="1"/>
  <c r="AW163" i="102"/>
  <c r="AW180" i="102" s="1"/>
  <c r="V163" i="102"/>
  <c r="V273" i="102" s="1"/>
  <c r="O163" i="102"/>
  <c r="O180" i="102" s="1"/>
  <c r="U163" i="102"/>
  <c r="U180" i="102" s="1"/>
  <c r="AD162" i="102"/>
  <c r="P162" i="102"/>
  <c r="AC162" i="102"/>
  <c r="AB162" i="102"/>
  <c r="AA162" i="102"/>
  <c r="BG162" i="102"/>
  <c r="BF162" i="102"/>
  <c r="BE162" i="102"/>
  <c r="X162" i="102"/>
  <c r="W162" i="102"/>
  <c r="AL162" i="102"/>
  <c r="BD162" i="102"/>
  <c r="AW162" i="102"/>
  <c r="V162" i="102"/>
  <c r="O162" i="102"/>
  <c r="U162" i="102"/>
  <c r="AD159" i="102"/>
  <c r="P159" i="102"/>
  <c r="AC159" i="102"/>
  <c r="AB159" i="102"/>
  <c r="AA159" i="102"/>
  <c r="BG159" i="102"/>
  <c r="BF159" i="102"/>
  <c r="BE159" i="102"/>
  <c r="X159" i="102"/>
  <c r="W159" i="102"/>
  <c r="AL159" i="102"/>
  <c r="BD159" i="102"/>
  <c r="AW159" i="102"/>
  <c r="V159" i="102"/>
  <c r="O159" i="102"/>
  <c r="U159" i="102"/>
  <c r="AD156" i="102"/>
  <c r="AD280" i="102" s="1"/>
  <c r="P156" i="102"/>
  <c r="P280" i="102" s="1"/>
  <c r="AC156" i="102"/>
  <c r="AC280" i="102" s="1"/>
  <c r="AB156" i="102"/>
  <c r="AB280" i="102" s="1"/>
  <c r="AA156" i="102"/>
  <c r="AA280" i="102" s="1"/>
  <c r="BG156" i="102"/>
  <c r="BG280" i="102" s="1"/>
  <c r="BF156" i="102"/>
  <c r="BF280" i="102" s="1"/>
  <c r="BE156" i="102"/>
  <c r="BE280" i="102" s="1"/>
  <c r="X156" i="102"/>
  <c r="X280" i="102" s="1"/>
  <c r="W156" i="102"/>
  <c r="W280" i="102" s="1"/>
  <c r="AL156" i="102"/>
  <c r="AL280" i="102" s="1"/>
  <c r="BD156" i="102"/>
  <c r="BD280" i="102" s="1"/>
  <c r="AW156" i="102"/>
  <c r="AW280" i="102" s="1"/>
  <c r="V156" i="102"/>
  <c r="V280" i="102" s="1"/>
  <c r="O156" i="102"/>
  <c r="O280" i="102" s="1"/>
  <c r="U156" i="102"/>
  <c r="U280" i="102" s="1"/>
  <c r="AD155" i="102"/>
  <c r="P155" i="102"/>
  <c r="AC155" i="102"/>
  <c r="AB155" i="102"/>
  <c r="AA155" i="102"/>
  <c r="BG155" i="102"/>
  <c r="BF155" i="102"/>
  <c r="BE155" i="102"/>
  <c r="X155" i="102"/>
  <c r="W155" i="102"/>
  <c r="AL155" i="102"/>
  <c r="BD155" i="102"/>
  <c r="AW155" i="102"/>
  <c r="V155" i="102"/>
  <c r="O155" i="102"/>
  <c r="U155" i="102"/>
  <c r="AD152" i="102"/>
  <c r="P152" i="102"/>
  <c r="AC152" i="102"/>
  <c r="AB152" i="102"/>
  <c r="AA152" i="102"/>
  <c r="BG152" i="102"/>
  <c r="BF152" i="102"/>
  <c r="BE152" i="102"/>
  <c r="X152" i="102"/>
  <c r="W152" i="102"/>
  <c r="AL152" i="102"/>
  <c r="BD152" i="102"/>
  <c r="AW152" i="102"/>
  <c r="V152" i="102"/>
  <c r="O152" i="102"/>
  <c r="U152" i="102"/>
  <c r="AD147" i="102"/>
  <c r="AD272" i="102" s="1"/>
  <c r="P147" i="102"/>
  <c r="P272" i="102" s="1"/>
  <c r="AC147" i="102"/>
  <c r="AC272" i="102" s="1"/>
  <c r="AB147" i="102"/>
  <c r="AB272" i="102" s="1"/>
  <c r="AA147" i="102"/>
  <c r="AA272" i="102" s="1"/>
  <c r="BG147" i="102"/>
  <c r="BG272" i="102" s="1"/>
  <c r="BF147" i="102"/>
  <c r="BF272" i="102" s="1"/>
  <c r="BE147" i="102"/>
  <c r="BE272" i="102" s="1"/>
  <c r="X147" i="102"/>
  <c r="X272" i="102" s="1"/>
  <c r="W147" i="102"/>
  <c r="W272" i="102" s="1"/>
  <c r="AL147" i="102"/>
  <c r="AL272" i="102" s="1"/>
  <c r="BD147" i="102"/>
  <c r="BD272" i="102" s="1"/>
  <c r="AW147" i="102"/>
  <c r="AW272" i="102" s="1"/>
  <c r="V147" i="102"/>
  <c r="V272" i="102" s="1"/>
  <c r="O147" i="102"/>
  <c r="O272" i="102" s="1"/>
  <c r="U147" i="102"/>
  <c r="U272" i="102" s="1"/>
  <c r="AD146" i="102"/>
  <c r="AD271" i="102" s="1"/>
  <c r="P146" i="102"/>
  <c r="P271" i="102" s="1"/>
  <c r="AC146" i="102"/>
  <c r="AC271" i="102" s="1"/>
  <c r="AB146" i="102"/>
  <c r="AB271" i="102" s="1"/>
  <c r="AA146" i="102"/>
  <c r="AA271" i="102" s="1"/>
  <c r="BG146" i="102"/>
  <c r="BG271" i="102" s="1"/>
  <c r="BF146" i="102"/>
  <c r="BF271" i="102" s="1"/>
  <c r="BE146" i="102"/>
  <c r="BE271" i="102" s="1"/>
  <c r="X146" i="102"/>
  <c r="X271" i="102" s="1"/>
  <c r="W146" i="102"/>
  <c r="W271" i="102" s="1"/>
  <c r="AL146" i="102"/>
  <c r="AL271" i="102" s="1"/>
  <c r="BD146" i="102"/>
  <c r="BD271" i="102" s="1"/>
  <c r="AW146" i="102"/>
  <c r="AW271" i="102" s="1"/>
  <c r="V146" i="102"/>
  <c r="V271" i="102" s="1"/>
  <c r="O146" i="102"/>
  <c r="O271" i="102" s="1"/>
  <c r="U146" i="102"/>
  <c r="U271" i="102" s="1"/>
  <c r="AD145" i="102"/>
  <c r="AD270" i="102" s="1"/>
  <c r="P145" i="102"/>
  <c r="P177" i="102" s="1"/>
  <c r="AC145" i="102"/>
  <c r="AC177" i="102" s="1"/>
  <c r="AB145" i="102"/>
  <c r="AB270" i="102" s="1"/>
  <c r="AA145" i="102"/>
  <c r="AA177" i="102" s="1"/>
  <c r="BG145" i="102"/>
  <c r="BG270" i="102" s="1"/>
  <c r="BF145" i="102"/>
  <c r="BF177" i="102" s="1"/>
  <c r="BE145" i="102"/>
  <c r="BE177" i="102" s="1"/>
  <c r="X145" i="102"/>
  <c r="X270" i="102" s="1"/>
  <c r="W145" i="102"/>
  <c r="W270" i="102" s="1"/>
  <c r="AL145" i="102"/>
  <c r="AL177" i="102" s="1"/>
  <c r="BD145" i="102"/>
  <c r="BD177" i="102" s="1"/>
  <c r="AW145" i="102"/>
  <c r="AW177" i="102" s="1"/>
  <c r="V145" i="102"/>
  <c r="V270" i="102" s="1"/>
  <c r="O145" i="102"/>
  <c r="O177" i="102" s="1"/>
  <c r="U145" i="102"/>
  <c r="U177" i="102" s="1"/>
  <c r="AD140" i="102"/>
  <c r="P140" i="102"/>
  <c r="AC140" i="102"/>
  <c r="AB140" i="102"/>
  <c r="AA140" i="102"/>
  <c r="BG140" i="102"/>
  <c r="BF140" i="102"/>
  <c r="BE140" i="102"/>
  <c r="X140" i="102"/>
  <c r="W140" i="102"/>
  <c r="AL140" i="102"/>
  <c r="BD140" i="102"/>
  <c r="AW140" i="102"/>
  <c r="V140" i="102"/>
  <c r="O140" i="102"/>
  <c r="U140" i="102"/>
  <c r="AD133" i="102"/>
  <c r="P133" i="102"/>
  <c r="AC133" i="102"/>
  <c r="AB133" i="102"/>
  <c r="AA133" i="102"/>
  <c r="BG133" i="102"/>
  <c r="BF133" i="102"/>
  <c r="BE133" i="102"/>
  <c r="X133" i="102"/>
  <c r="W133" i="102"/>
  <c r="AL133" i="102"/>
  <c r="BD133" i="102"/>
  <c r="AW133" i="102"/>
  <c r="V133" i="102"/>
  <c r="O133" i="102"/>
  <c r="U133" i="102"/>
  <c r="AD132" i="102"/>
  <c r="P132" i="102"/>
  <c r="AC132" i="102"/>
  <c r="AB132" i="102"/>
  <c r="AA132" i="102"/>
  <c r="BG132" i="102"/>
  <c r="BF132" i="102"/>
  <c r="BE132" i="102"/>
  <c r="X132" i="102"/>
  <c r="W132" i="102"/>
  <c r="AL132" i="102"/>
  <c r="BD132" i="102"/>
  <c r="AW132" i="102"/>
  <c r="V132" i="102"/>
  <c r="O132" i="102"/>
  <c r="U132" i="102"/>
  <c r="AD131" i="102"/>
  <c r="P131" i="102"/>
  <c r="AC131" i="102"/>
  <c r="AB131" i="102"/>
  <c r="AA131" i="102"/>
  <c r="BG131" i="102"/>
  <c r="BF131" i="102"/>
  <c r="BE131" i="102"/>
  <c r="X131" i="102"/>
  <c r="W131" i="102"/>
  <c r="AL131" i="102"/>
  <c r="BD131" i="102"/>
  <c r="AW131" i="102"/>
  <c r="V131" i="102"/>
  <c r="O131" i="102"/>
  <c r="U131" i="102"/>
  <c r="AD130" i="102"/>
  <c r="P130" i="102"/>
  <c r="AC130" i="102"/>
  <c r="AB130" i="102"/>
  <c r="AA130" i="102"/>
  <c r="BG130" i="102"/>
  <c r="BF130" i="102"/>
  <c r="BE130" i="102"/>
  <c r="X130" i="102"/>
  <c r="W130" i="102"/>
  <c r="AL130" i="102"/>
  <c r="BD130" i="102"/>
  <c r="AW130" i="102"/>
  <c r="V130" i="102"/>
  <c r="O130" i="102"/>
  <c r="U130" i="102"/>
  <c r="AD126" i="102"/>
  <c r="AD136" i="102" s="1"/>
  <c r="P126" i="102"/>
  <c r="P136" i="102" s="1"/>
  <c r="AC126" i="102"/>
  <c r="AC136" i="102" s="1"/>
  <c r="AB126" i="102"/>
  <c r="AB136" i="102" s="1"/>
  <c r="AA126" i="102"/>
  <c r="AA136" i="102" s="1"/>
  <c r="BG126" i="102"/>
  <c r="BG136" i="102" s="1"/>
  <c r="BF126" i="102"/>
  <c r="BF136" i="102" s="1"/>
  <c r="BE126" i="102"/>
  <c r="BE136" i="102" s="1"/>
  <c r="X126" i="102"/>
  <c r="X136" i="102" s="1"/>
  <c r="W126" i="102"/>
  <c r="W136" i="102" s="1"/>
  <c r="AL126" i="102"/>
  <c r="AL136" i="102" s="1"/>
  <c r="BD126" i="102"/>
  <c r="BD136" i="102" s="1"/>
  <c r="AW126" i="102"/>
  <c r="AW136" i="102" s="1"/>
  <c r="V126" i="102"/>
  <c r="V136" i="102" s="1"/>
  <c r="O126" i="102"/>
  <c r="O136" i="102" s="1"/>
  <c r="U126" i="102"/>
  <c r="U136" i="102" s="1"/>
  <c r="AD135" i="102"/>
  <c r="P135" i="102"/>
  <c r="AC135" i="102"/>
  <c r="AB135" i="102"/>
  <c r="AA135" i="102"/>
  <c r="BG135" i="102"/>
  <c r="BF135" i="102"/>
  <c r="BE135" i="102"/>
  <c r="X135" i="102"/>
  <c r="W135" i="102"/>
  <c r="AL135" i="102"/>
  <c r="BD135" i="102"/>
  <c r="AW135" i="102"/>
  <c r="V135" i="102"/>
  <c r="O135" i="102"/>
  <c r="U135" i="102"/>
  <c r="AD40" i="102"/>
  <c r="P40" i="102"/>
  <c r="AC40" i="102"/>
  <c r="AB40" i="102"/>
  <c r="AA40" i="102"/>
  <c r="BG40" i="102"/>
  <c r="BF40" i="102"/>
  <c r="BE40" i="102"/>
  <c r="X40" i="102"/>
  <c r="W40" i="102"/>
  <c r="AL40" i="102"/>
  <c r="BD40" i="102"/>
  <c r="AW40" i="102"/>
  <c r="V40" i="102"/>
  <c r="O40" i="102"/>
  <c r="U40" i="102"/>
  <c r="AD28" i="102"/>
  <c r="AD30" i="102" s="1"/>
  <c r="P28" i="102"/>
  <c r="P30" i="102" s="1"/>
  <c r="AC28" i="102"/>
  <c r="AC30" i="102" s="1"/>
  <c r="AB28" i="102"/>
  <c r="AB30" i="102" s="1"/>
  <c r="AB134" i="102" s="1"/>
  <c r="AA28" i="102"/>
  <c r="AA30" i="102" s="1"/>
  <c r="BG28" i="102"/>
  <c r="BG30" i="102" s="1"/>
  <c r="BG134" i="102" s="1"/>
  <c r="BF28" i="102"/>
  <c r="BF30" i="102" s="1"/>
  <c r="BE28" i="102"/>
  <c r="BE30" i="102" s="1"/>
  <c r="X28" i="102"/>
  <c r="X30" i="102" s="1"/>
  <c r="W28" i="102"/>
  <c r="W30" i="102" s="1"/>
  <c r="AL28" i="102"/>
  <c r="AL30" i="102" s="1"/>
  <c r="BD28" i="102"/>
  <c r="BD30" i="102" s="1"/>
  <c r="BD134" i="102" s="1"/>
  <c r="AW28" i="102"/>
  <c r="AW30" i="102" s="1"/>
  <c r="V28" i="102"/>
  <c r="V30" i="102" s="1"/>
  <c r="V134" i="102" s="1"/>
  <c r="O28" i="102"/>
  <c r="O30" i="102" s="1"/>
  <c r="U28" i="102"/>
  <c r="U30" i="102" s="1"/>
  <c r="Q266" i="102"/>
  <c r="Q276" i="102" s="1"/>
  <c r="Y266" i="102"/>
  <c r="Y276" i="102" s="1"/>
  <c r="BI266" i="102"/>
  <c r="BI276" i="102" s="1"/>
  <c r="BH266" i="102"/>
  <c r="BH276" i="102" s="1"/>
  <c r="I266" i="102"/>
  <c r="I276" i="102" s="1"/>
  <c r="AP266" i="102"/>
  <c r="AP276" i="102" s="1"/>
  <c r="AE266" i="102"/>
  <c r="AE276" i="102" s="1"/>
  <c r="AM266" i="102"/>
  <c r="AM276" i="102" s="1"/>
  <c r="Q262" i="102"/>
  <c r="Q275" i="102" s="1"/>
  <c r="Y262" i="102"/>
  <c r="Y275" i="102" s="1"/>
  <c r="BI262" i="102"/>
  <c r="BI275" i="102" s="1"/>
  <c r="BH262" i="102"/>
  <c r="BH275" i="102" s="1"/>
  <c r="I262" i="102"/>
  <c r="I275" i="102" s="1"/>
  <c r="AP262" i="102"/>
  <c r="AP275" i="102" s="1"/>
  <c r="AE262" i="102"/>
  <c r="AE275" i="102" s="1"/>
  <c r="AM262" i="102"/>
  <c r="AM275" i="102" s="1"/>
  <c r="Q179" i="102"/>
  <c r="Y179" i="102"/>
  <c r="BI179" i="102"/>
  <c r="BH179" i="102"/>
  <c r="I179" i="102"/>
  <c r="AP179" i="102"/>
  <c r="AE179" i="102"/>
  <c r="AM179" i="102"/>
  <c r="Q178" i="102"/>
  <c r="Y178" i="102"/>
  <c r="BI178" i="102"/>
  <c r="BH178" i="102"/>
  <c r="I178" i="102"/>
  <c r="AP178" i="102"/>
  <c r="AE178" i="102"/>
  <c r="AM178" i="102"/>
  <c r="Q173" i="102"/>
  <c r="Y173" i="102"/>
  <c r="BI173" i="102"/>
  <c r="BH173" i="102"/>
  <c r="I173" i="102"/>
  <c r="AP173" i="102"/>
  <c r="AE173" i="102"/>
  <c r="AM173" i="102"/>
  <c r="Q170" i="102"/>
  <c r="Q274" i="102" s="1"/>
  <c r="Y170" i="102"/>
  <c r="Y274" i="102" s="1"/>
  <c r="BI170" i="102"/>
  <c r="BI274" i="102" s="1"/>
  <c r="BH170" i="102"/>
  <c r="BH274" i="102" s="1"/>
  <c r="I170" i="102"/>
  <c r="I274" i="102" s="1"/>
  <c r="AP170" i="102"/>
  <c r="AP274" i="102" s="1"/>
  <c r="AE170" i="102"/>
  <c r="AE274" i="102" s="1"/>
  <c r="AM170" i="102"/>
  <c r="AM274" i="102" s="1"/>
  <c r="Q163" i="102"/>
  <c r="Q273" i="102" s="1"/>
  <c r="Y163" i="102"/>
  <c r="Y180" i="102" s="1"/>
  <c r="BI163" i="102"/>
  <c r="BI273" i="102" s="1"/>
  <c r="BH163" i="102"/>
  <c r="I163" i="102"/>
  <c r="I273" i="102" s="1"/>
  <c r="AP163" i="102"/>
  <c r="AP273" i="102" s="1"/>
  <c r="AE163" i="102"/>
  <c r="AE273" i="102" s="1"/>
  <c r="AM163" i="102"/>
  <c r="AM273" i="102" s="1"/>
  <c r="Q162" i="102"/>
  <c r="Y162" i="102"/>
  <c r="BI162" i="102"/>
  <c r="BH162" i="102"/>
  <c r="I162" i="102"/>
  <c r="AP162" i="102"/>
  <c r="AE162" i="102"/>
  <c r="AM162" i="102"/>
  <c r="Q159" i="102"/>
  <c r="Y159" i="102"/>
  <c r="BI159" i="102"/>
  <c r="BH159" i="102"/>
  <c r="I159" i="102"/>
  <c r="AP159" i="102"/>
  <c r="AE159" i="102"/>
  <c r="AM159" i="102"/>
  <c r="Q156" i="102"/>
  <c r="Q280" i="102" s="1"/>
  <c r="Y156" i="102"/>
  <c r="Y280" i="102" s="1"/>
  <c r="BI156" i="102"/>
  <c r="BI280" i="102" s="1"/>
  <c r="BH156" i="102"/>
  <c r="BH280" i="102" s="1"/>
  <c r="I156" i="102"/>
  <c r="I280" i="102" s="1"/>
  <c r="AP156" i="102"/>
  <c r="AP280" i="102" s="1"/>
  <c r="AE156" i="102"/>
  <c r="AE280" i="102" s="1"/>
  <c r="AM156" i="102"/>
  <c r="AM280" i="102" s="1"/>
  <c r="Q155" i="102"/>
  <c r="Y155" i="102"/>
  <c r="BI155" i="102"/>
  <c r="BH155" i="102"/>
  <c r="I155" i="102"/>
  <c r="AP155" i="102"/>
  <c r="AE155" i="102"/>
  <c r="AM155" i="102"/>
  <c r="Q152" i="102"/>
  <c r="Y152" i="102"/>
  <c r="BI152" i="102"/>
  <c r="BH152" i="102"/>
  <c r="I152" i="102"/>
  <c r="AP152" i="102"/>
  <c r="AE152" i="102"/>
  <c r="AM152" i="102"/>
  <c r="Q147" i="102"/>
  <c r="Q272" i="102" s="1"/>
  <c r="Y147" i="102"/>
  <c r="Y272" i="102" s="1"/>
  <c r="BI147" i="102"/>
  <c r="BI272" i="102" s="1"/>
  <c r="BH147" i="102"/>
  <c r="BH272" i="102" s="1"/>
  <c r="I147" i="102"/>
  <c r="I272" i="102" s="1"/>
  <c r="AP147" i="102"/>
  <c r="AP272" i="102" s="1"/>
  <c r="AE147" i="102"/>
  <c r="AE272" i="102" s="1"/>
  <c r="AM147" i="102"/>
  <c r="AM272" i="102" s="1"/>
  <c r="Q146" i="102"/>
  <c r="Q271" i="102" s="1"/>
  <c r="Y146" i="102"/>
  <c r="Y271" i="102" s="1"/>
  <c r="BI146" i="102"/>
  <c r="BI271" i="102" s="1"/>
  <c r="BH146" i="102"/>
  <c r="BH271" i="102" s="1"/>
  <c r="I146" i="102"/>
  <c r="I271" i="102" s="1"/>
  <c r="AP146" i="102"/>
  <c r="AP271" i="102" s="1"/>
  <c r="AE146" i="102"/>
  <c r="AE271" i="102" s="1"/>
  <c r="AM146" i="102"/>
  <c r="AM271" i="102" s="1"/>
  <c r="Q145" i="102"/>
  <c r="Q270" i="102" s="1"/>
  <c r="Y145" i="102"/>
  <c r="Y270" i="102" s="1"/>
  <c r="BI145" i="102"/>
  <c r="BI270" i="102" s="1"/>
  <c r="BH145" i="102"/>
  <c r="BH177" i="102" s="1"/>
  <c r="I145" i="102"/>
  <c r="AP145" i="102"/>
  <c r="AP270" i="102" s="1"/>
  <c r="AE145" i="102"/>
  <c r="AE270" i="102" s="1"/>
  <c r="AM145" i="102"/>
  <c r="AM270" i="102" s="1"/>
  <c r="Q140" i="102"/>
  <c r="Y140" i="102"/>
  <c r="BI140" i="102"/>
  <c r="BH140" i="102"/>
  <c r="I140" i="102"/>
  <c r="AP140" i="102"/>
  <c r="AE140" i="102"/>
  <c r="AM140" i="102"/>
  <c r="Q133" i="102"/>
  <c r="Y133" i="102"/>
  <c r="BI133" i="102"/>
  <c r="BH133" i="102"/>
  <c r="I133" i="102"/>
  <c r="AP133" i="102"/>
  <c r="AE133" i="102"/>
  <c r="AM133" i="102"/>
  <c r="Q132" i="102"/>
  <c r="Y132" i="102"/>
  <c r="BI132" i="102"/>
  <c r="BH132" i="102"/>
  <c r="I132" i="102"/>
  <c r="AP132" i="102"/>
  <c r="AE132" i="102"/>
  <c r="AM132" i="102"/>
  <c r="Q131" i="102"/>
  <c r="Y131" i="102"/>
  <c r="BI131" i="102"/>
  <c r="BH131" i="102"/>
  <c r="I131" i="102"/>
  <c r="AP131" i="102"/>
  <c r="AE131" i="102"/>
  <c r="AM131" i="102"/>
  <c r="Q130" i="102"/>
  <c r="Y130" i="102"/>
  <c r="BI130" i="102"/>
  <c r="BH130" i="102"/>
  <c r="I130" i="102"/>
  <c r="AP130" i="102"/>
  <c r="AE130" i="102"/>
  <c r="AM130" i="102"/>
  <c r="Q126" i="102"/>
  <c r="Q136" i="102" s="1"/>
  <c r="Y126" i="102"/>
  <c r="Y136" i="102" s="1"/>
  <c r="BI126" i="102"/>
  <c r="BI136" i="102" s="1"/>
  <c r="BH126" i="102"/>
  <c r="BH136" i="102" s="1"/>
  <c r="I126" i="102"/>
  <c r="I136" i="102" s="1"/>
  <c r="AP126" i="102"/>
  <c r="AP136" i="102" s="1"/>
  <c r="AE126" i="102"/>
  <c r="AE136" i="102" s="1"/>
  <c r="AM126" i="102"/>
  <c r="AM136" i="102" s="1"/>
  <c r="Q135" i="102"/>
  <c r="Y135" i="102"/>
  <c r="BI135" i="102"/>
  <c r="BH135" i="102"/>
  <c r="I135" i="102"/>
  <c r="AP135" i="102"/>
  <c r="AE135" i="102"/>
  <c r="AM135" i="102"/>
  <c r="Q40" i="102"/>
  <c r="Y40" i="102"/>
  <c r="BI40" i="102"/>
  <c r="BH40" i="102"/>
  <c r="I40" i="102"/>
  <c r="AP40" i="102"/>
  <c r="AE40" i="102"/>
  <c r="AM40" i="102"/>
  <c r="Q28" i="102"/>
  <c r="Q30" i="102" s="1"/>
  <c r="Y28" i="102"/>
  <c r="Y30" i="102" s="1"/>
  <c r="BI28" i="102"/>
  <c r="BI30" i="102" s="1"/>
  <c r="BH28" i="102"/>
  <c r="BH30" i="102" s="1"/>
  <c r="BH134" i="102" s="1"/>
  <c r="I28" i="102"/>
  <c r="I30" i="102" s="1"/>
  <c r="I134" i="102" s="1"/>
  <c r="AP28" i="102"/>
  <c r="AP30" i="102" s="1"/>
  <c r="AP134" i="102" s="1"/>
  <c r="AE28" i="102"/>
  <c r="AE30" i="102" s="1"/>
  <c r="AM28" i="102"/>
  <c r="AM30" i="102" s="1"/>
  <c r="R266" i="102"/>
  <c r="R276" i="102" s="1"/>
  <c r="L266" i="102"/>
  <c r="L276" i="102" s="1"/>
  <c r="AN266" i="102"/>
  <c r="AN276" i="102" s="1"/>
  <c r="Z266" i="102"/>
  <c r="Z276" i="102" s="1"/>
  <c r="R262" i="102"/>
  <c r="R275" i="102" s="1"/>
  <c r="L262" i="102"/>
  <c r="L275" i="102" s="1"/>
  <c r="AN262" i="102"/>
  <c r="AN275" i="102" s="1"/>
  <c r="Z262" i="102"/>
  <c r="Z275" i="102" s="1"/>
  <c r="R179" i="102"/>
  <c r="L179" i="102"/>
  <c r="AN179" i="102"/>
  <c r="Z179" i="102"/>
  <c r="R178" i="102"/>
  <c r="L178" i="102"/>
  <c r="AN178" i="102"/>
  <c r="Z178" i="102"/>
  <c r="R173" i="102"/>
  <c r="L173" i="102"/>
  <c r="AN173" i="102"/>
  <c r="Z173" i="102"/>
  <c r="R170" i="102"/>
  <c r="R274" i="102" s="1"/>
  <c r="L170" i="102"/>
  <c r="L274" i="102" s="1"/>
  <c r="AN170" i="102"/>
  <c r="AN274" i="102" s="1"/>
  <c r="Z170" i="102"/>
  <c r="Z274" i="102" s="1"/>
  <c r="R163" i="102"/>
  <c r="R273" i="102" s="1"/>
  <c r="L163" i="102"/>
  <c r="L273" i="102" s="1"/>
  <c r="AN163" i="102"/>
  <c r="AN273" i="102" s="1"/>
  <c r="Z163" i="102"/>
  <c r="Z273" i="102" s="1"/>
  <c r="R162" i="102"/>
  <c r="L162" i="102"/>
  <c r="AN162" i="102"/>
  <c r="Z162" i="102"/>
  <c r="R159" i="102"/>
  <c r="L159" i="102"/>
  <c r="AN159" i="102"/>
  <c r="Z159" i="102"/>
  <c r="R156" i="102"/>
  <c r="R280" i="102" s="1"/>
  <c r="L156" i="102"/>
  <c r="L280" i="102" s="1"/>
  <c r="AN156" i="102"/>
  <c r="AN280" i="102" s="1"/>
  <c r="Z156" i="102"/>
  <c r="Z280" i="102" s="1"/>
  <c r="R155" i="102"/>
  <c r="L155" i="102"/>
  <c r="AN155" i="102"/>
  <c r="Z155" i="102"/>
  <c r="R152" i="102"/>
  <c r="L152" i="102"/>
  <c r="AN152" i="102"/>
  <c r="Z152" i="102"/>
  <c r="R147" i="102"/>
  <c r="R272" i="102" s="1"/>
  <c r="L147" i="102"/>
  <c r="L272" i="102" s="1"/>
  <c r="AN147" i="102"/>
  <c r="AN272" i="102" s="1"/>
  <c r="Z147" i="102"/>
  <c r="Z272" i="102" s="1"/>
  <c r="R146" i="102"/>
  <c r="R271" i="102" s="1"/>
  <c r="L146" i="102"/>
  <c r="L271" i="102" s="1"/>
  <c r="AN146" i="102"/>
  <c r="AN271" i="102" s="1"/>
  <c r="Z146" i="102"/>
  <c r="Z271" i="102" s="1"/>
  <c r="R145" i="102"/>
  <c r="R270" i="102" s="1"/>
  <c r="L145" i="102"/>
  <c r="L270" i="102" s="1"/>
  <c r="AN145" i="102"/>
  <c r="AN270" i="102" s="1"/>
  <c r="Z145" i="102"/>
  <c r="Z270" i="102" s="1"/>
  <c r="R140" i="102"/>
  <c r="L140" i="102"/>
  <c r="AN140" i="102"/>
  <c r="Z140" i="102"/>
  <c r="R133" i="102"/>
  <c r="L133" i="102"/>
  <c r="AN133" i="102"/>
  <c r="Z133" i="102"/>
  <c r="R132" i="102"/>
  <c r="L132" i="102"/>
  <c r="AN132" i="102"/>
  <c r="Z132" i="102"/>
  <c r="R131" i="102"/>
  <c r="L131" i="102"/>
  <c r="AN131" i="102"/>
  <c r="Z131" i="102"/>
  <c r="R130" i="102"/>
  <c r="L130" i="102"/>
  <c r="AN130" i="102"/>
  <c r="Z130" i="102"/>
  <c r="R126" i="102"/>
  <c r="R136" i="102" s="1"/>
  <c r="L126" i="102"/>
  <c r="L136" i="102" s="1"/>
  <c r="AN126" i="102"/>
  <c r="AN136" i="102" s="1"/>
  <c r="Z126" i="102"/>
  <c r="Z136" i="102" s="1"/>
  <c r="R135" i="102"/>
  <c r="L135" i="102"/>
  <c r="AN135" i="102"/>
  <c r="Z135" i="102"/>
  <c r="R40" i="102"/>
  <c r="L40" i="102"/>
  <c r="AN40" i="102"/>
  <c r="Z40" i="102"/>
  <c r="R28" i="102"/>
  <c r="R30" i="102" s="1"/>
  <c r="L28" i="102"/>
  <c r="L30" i="102" s="1"/>
  <c r="AN28" i="102"/>
  <c r="AN30" i="102" s="1"/>
  <c r="Z28" i="102"/>
  <c r="Z30" i="102" s="1"/>
  <c r="AO266" i="102"/>
  <c r="AO276" i="102" s="1"/>
  <c r="J266" i="102"/>
  <c r="J276" i="102" s="1"/>
  <c r="AO262" i="102"/>
  <c r="AO275" i="102" s="1"/>
  <c r="J262" i="102"/>
  <c r="J275" i="102" s="1"/>
  <c r="AO179" i="102"/>
  <c r="J179" i="102"/>
  <c r="AO178" i="102"/>
  <c r="J178" i="102"/>
  <c r="AO173" i="102"/>
  <c r="J173" i="102"/>
  <c r="AO170" i="102"/>
  <c r="AO274" i="102" s="1"/>
  <c r="J170" i="102"/>
  <c r="AO163" i="102"/>
  <c r="AO273" i="102" s="1"/>
  <c r="J163" i="102"/>
  <c r="J273" i="102" s="1"/>
  <c r="AO162" i="102"/>
  <c r="J162" i="102"/>
  <c r="AO159" i="102"/>
  <c r="J159" i="102"/>
  <c r="AO156" i="102"/>
  <c r="AO280" i="102" s="1"/>
  <c r="J156" i="102"/>
  <c r="J280" i="102" s="1"/>
  <c r="AO155" i="102"/>
  <c r="J155" i="102"/>
  <c r="AO152" i="102"/>
  <c r="J152" i="102"/>
  <c r="AO147" i="102"/>
  <c r="AO272" i="102" s="1"/>
  <c r="J147" i="102"/>
  <c r="J272" i="102" s="1"/>
  <c r="AO146" i="102"/>
  <c r="AO271" i="102" s="1"/>
  <c r="J146" i="102"/>
  <c r="J271" i="102" s="1"/>
  <c r="AO145" i="102"/>
  <c r="AO270" i="102" s="1"/>
  <c r="J145" i="102"/>
  <c r="J270" i="102" s="1"/>
  <c r="AO140" i="102"/>
  <c r="J140" i="102"/>
  <c r="AO133" i="102"/>
  <c r="J133" i="102"/>
  <c r="AO132" i="102"/>
  <c r="J132" i="102"/>
  <c r="AO131" i="102"/>
  <c r="J131" i="102"/>
  <c r="AO130" i="102"/>
  <c r="J130" i="102"/>
  <c r="AO126" i="102"/>
  <c r="AO136" i="102" s="1"/>
  <c r="J126" i="102"/>
  <c r="J136" i="102" s="1"/>
  <c r="AO135" i="102"/>
  <c r="J135" i="102"/>
  <c r="AO40" i="102"/>
  <c r="J40" i="102"/>
  <c r="AO28" i="102"/>
  <c r="AO30" i="102" s="1"/>
  <c r="J28" i="102"/>
  <c r="J30" i="102" s="1"/>
  <c r="CE266" i="102"/>
  <c r="CE276" i="102" s="1"/>
  <c r="CE262" i="102"/>
  <c r="CE275" i="102" s="1"/>
  <c r="CE179" i="102"/>
  <c r="CE178" i="102"/>
  <c r="CE173" i="102"/>
  <c r="CE170" i="102"/>
  <c r="CE274" i="102" s="1"/>
  <c r="CE163" i="102"/>
  <c r="CE180" i="102" s="1"/>
  <c r="CE162" i="102"/>
  <c r="CE159" i="102"/>
  <c r="CE156" i="102"/>
  <c r="CE280" i="102" s="1"/>
  <c r="CE155" i="102"/>
  <c r="CE152" i="102"/>
  <c r="CE147" i="102"/>
  <c r="CE272" i="102" s="1"/>
  <c r="CE146" i="102"/>
  <c r="CE271" i="102" s="1"/>
  <c r="CE145" i="102"/>
  <c r="CE270" i="102" s="1"/>
  <c r="CE140" i="102"/>
  <c r="CE133" i="102"/>
  <c r="CE132" i="102"/>
  <c r="CE131" i="102"/>
  <c r="CE130" i="102"/>
  <c r="CE126" i="102"/>
  <c r="CE136" i="102" s="1"/>
  <c r="CE135" i="102"/>
  <c r="CE40" i="102"/>
  <c r="CE28" i="102"/>
  <c r="CE30" i="102" s="1"/>
  <c r="CE134" i="102" s="1"/>
  <c r="CF266" i="102"/>
  <c r="CF276" i="102" s="1"/>
  <c r="CF262" i="102"/>
  <c r="CF275" i="102" s="1"/>
  <c r="CF179" i="102"/>
  <c r="CF178" i="102"/>
  <c r="CF173" i="102"/>
  <c r="CF170" i="102"/>
  <c r="CF274" i="102" s="1"/>
  <c r="CF163" i="102"/>
  <c r="CF180" i="102" s="1"/>
  <c r="CF162" i="102"/>
  <c r="CF159" i="102"/>
  <c r="CF156" i="102"/>
  <c r="CF280" i="102" s="1"/>
  <c r="CF155" i="102"/>
  <c r="CF152" i="102"/>
  <c r="CF147" i="102"/>
  <c r="CF272" i="102" s="1"/>
  <c r="CF146" i="102"/>
  <c r="CF271" i="102" s="1"/>
  <c r="CF145" i="102"/>
  <c r="CF270" i="102" s="1"/>
  <c r="CF140" i="102"/>
  <c r="CF133" i="102"/>
  <c r="CF132" i="102"/>
  <c r="CF131" i="102"/>
  <c r="CF130" i="102"/>
  <c r="CF126" i="102"/>
  <c r="CF136" i="102" s="1"/>
  <c r="CF135" i="102"/>
  <c r="CF40" i="102"/>
  <c r="CF28" i="102"/>
  <c r="CF30" i="102" s="1"/>
  <c r="F159" i="102"/>
  <c r="D159" i="102"/>
  <c r="AC181" i="102" l="1"/>
  <c r="AC274" i="102"/>
  <c r="AW181" i="102"/>
  <c r="AW274" i="102"/>
  <c r="AW277" i="102" s="1"/>
  <c r="AX277" i="102"/>
  <c r="BH277" i="102"/>
  <c r="Y277" i="102"/>
  <c r="AB277" i="102"/>
  <c r="V137" i="102"/>
  <c r="BG137" i="102"/>
  <c r="AB137" i="102"/>
  <c r="AT273" i="102"/>
  <c r="P273" i="102"/>
  <c r="BW277" i="102"/>
  <c r="K277" i="102"/>
  <c r="AT277" i="102"/>
  <c r="BF180" i="102"/>
  <c r="BD270" i="102"/>
  <c r="AT270" i="102"/>
  <c r="AF277" i="102"/>
  <c r="AC270" i="102"/>
  <c r="AG277" i="102"/>
  <c r="S277" i="102"/>
  <c r="CG277" i="102"/>
  <c r="CQ270" i="102"/>
  <c r="O277" i="102"/>
  <c r="AL277" i="102"/>
  <c r="BF277" i="102"/>
  <c r="AA277" i="102"/>
  <c r="AC180" i="102"/>
  <c r="AX180" i="102"/>
  <c r="CG180" i="102"/>
  <c r="CF277" i="102"/>
  <c r="BE180" i="102"/>
  <c r="BF270" i="102"/>
  <c r="AX177" i="102"/>
  <c r="CG177" i="102"/>
  <c r="BH137" i="102"/>
  <c r="Y134" i="102"/>
  <c r="Y137" i="102" s="1"/>
  <c r="Y41" i="102"/>
  <c r="CQ41" i="102"/>
  <c r="CQ134" i="102"/>
  <c r="CQ137" i="102" s="1"/>
  <c r="AP137" i="102"/>
  <c r="I270" i="102"/>
  <c r="I177" i="102"/>
  <c r="BD137" i="102"/>
  <c r="BW137" i="102"/>
  <c r="K137" i="102"/>
  <c r="Y177" i="102"/>
  <c r="AF137" i="102"/>
  <c r="I137" i="102"/>
  <c r="BH273" i="102"/>
  <c r="BH180" i="102"/>
  <c r="BH270" i="102"/>
  <c r="CM277" i="102"/>
  <c r="AG137" i="102"/>
  <c r="S137" i="102"/>
  <c r="CG137" i="102"/>
  <c r="CQ277" i="102"/>
  <c r="O270" i="102"/>
  <c r="P270" i="102"/>
  <c r="BW177" i="102"/>
  <c r="BW180" i="102"/>
  <c r="AG177" i="102"/>
  <c r="AF180" i="102"/>
  <c r="S180" i="102"/>
  <c r="AK177" i="102"/>
  <c r="U270" i="102"/>
  <c r="AL270" i="102"/>
  <c r="BS177" i="102"/>
  <c r="K177" i="102"/>
  <c r="K180" i="102"/>
  <c r="AF177" i="102"/>
  <c r="S177" i="102"/>
  <c r="AG180" i="102"/>
  <c r="CQ180" i="102"/>
  <c r="CO134" i="102"/>
  <c r="CO137" i="102" s="1"/>
  <c r="CO41" i="102"/>
  <c r="CS134" i="102"/>
  <c r="CS137" i="102" s="1"/>
  <c r="CS41" i="102"/>
  <c r="AU134" i="102"/>
  <c r="AU137" i="102" s="1"/>
  <c r="AU41" i="102"/>
  <c r="CO277" i="102"/>
  <c r="CO181" i="102"/>
  <c r="CS277" i="102"/>
  <c r="CS181" i="102"/>
  <c r="AU277" i="102"/>
  <c r="AU181" i="102"/>
  <c r="CQ181" i="102"/>
  <c r="CO177" i="102"/>
  <c r="CO180" i="102"/>
  <c r="AU177" i="102"/>
  <c r="AU180" i="102"/>
  <c r="CP134" i="102"/>
  <c r="CP137" i="102" s="1"/>
  <c r="CP41" i="102"/>
  <c r="CR134" i="102"/>
  <c r="CR137" i="102" s="1"/>
  <c r="CR41" i="102"/>
  <c r="CT134" i="102"/>
  <c r="CT137" i="102" s="1"/>
  <c r="CT41" i="102"/>
  <c r="CU134" i="102"/>
  <c r="CU137" i="102" s="1"/>
  <c r="CU41" i="102"/>
  <c r="CP277" i="102"/>
  <c r="CP181" i="102"/>
  <c r="CR277" i="102"/>
  <c r="CR181" i="102"/>
  <c r="CT277" i="102"/>
  <c r="CT181" i="102"/>
  <c r="CU277" i="102"/>
  <c r="CU181" i="102"/>
  <c r="CS177" i="102"/>
  <c r="CS180" i="102"/>
  <c r="CP177" i="102"/>
  <c r="CR177" i="102"/>
  <c r="CT177" i="102"/>
  <c r="CU177" i="102"/>
  <c r="CP180" i="102"/>
  <c r="CR180" i="102"/>
  <c r="CT180" i="102"/>
  <c r="CU180" i="102"/>
  <c r="AJ134" i="102"/>
  <c r="AJ137" i="102" s="1"/>
  <c r="AJ41" i="102"/>
  <c r="AK134" i="102"/>
  <c r="AK137" i="102" s="1"/>
  <c r="AK41" i="102"/>
  <c r="AJ277" i="102"/>
  <c r="AJ181" i="102"/>
  <c r="AK277" i="102"/>
  <c r="AK181" i="102"/>
  <c r="CN277" i="102"/>
  <c r="T134" i="102"/>
  <c r="T137" i="102" s="1"/>
  <c r="T41" i="102"/>
  <c r="AZ134" i="102"/>
  <c r="AZ137" i="102" s="1"/>
  <c r="AZ41" i="102"/>
  <c r="T277" i="102"/>
  <c r="T181" i="102"/>
  <c r="AZ277" i="102"/>
  <c r="AZ181" i="102"/>
  <c r="AJ177" i="102"/>
  <c r="AJ180" i="102"/>
  <c r="AK180" i="102"/>
  <c r="T177" i="102"/>
  <c r="AZ177" i="102"/>
  <c r="T180" i="102"/>
  <c r="AZ180" i="102"/>
  <c r="BC277" i="102"/>
  <c r="BA277" i="102"/>
  <c r="BA181" i="102"/>
  <c r="BA134" i="102"/>
  <c r="BA137" i="102" s="1"/>
  <c r="BA41" i="102"/>
  <c r="BB134" i="102"/>
  <c r="BB137" i="102" s="1"/>
  <c r="BB41" i="102"/>
  <c r="BB277" i="102"/>
  <c r="BB181" i="102"/>
  <c r="BA177" i="102"/>
  <c r="BA180" i="102"/>
  <c r="BB177" i="102"/>
  <c r="BB180" i="102"/>
  <c r="BC134" i="102"/>
  <c r="BC137" i="102" s="1"/>
  <c r="BC41" i="102"/>
  <c r="BC177" i="102"/>
  <c r="BC181" i="102"/>
  <c r="BC273" i="102"/>
  <c r="AV134" i="102"/>
  <c r="AV137" i="102" s="1"/>
  <c r="AV41" i="102"/>
  <c r="N41" i="102"/>
  <c r="AH134" i="102"/>
  <c r="AH137" i="102" s="1"/>
  <c r="AH41" i="102"/>
  <c r="M277" i="102"/>
  <c r="M41" i="102"/>
  <c r="AV277" i="102"/>
  <c r="AV181" i="102"/>
  <c r="N277" i="102"/>
  <c r="AH277" i="102"/>
  <c r="AH181" i="102"/>
  <c r="AF41" i="102"/>
  <c r="CG41" i="102"/>
  <c r="AF181" i="102"/>
  <c r="CG181" i="102"/>
  <c r="S41" i="102"/>
  <c r="AV177" i="102"/>
  <c r="AV180" i="102"/>
  <c r="S181" i="102"/>
  <c r="AG41" i="102"/>
  <c r="AH177" i="102"/>
  <c r="AH180" i="102"/>
  <c r="AG181" i="102"/>
  <c r="CH181" i="102"/>
  <c r="CH277" i="102"/>
  <c r="CJ277" i="102"/>
  <c r="CJ181" i="102"/>
  <c r="CH134" i="102"/>
  <c r="CH137" i="102" s="1"/>
  <c r="CH41" i="102"/>
  <c r="CJ134" i="102"/>
  <c r="CJ137" i="102" s="1"/>
  <c r="CJ41" i="102"/>
  <c r="CH177" i="102"/>
  <c r="CH273" i="102"/>
  <c r="CI134" i="102"/>
  <c r="CI137" i="102" s="1"/>
  <c r="CI41" i="102"/>
  <c r="CK134" i="102"/>
  <c r="CK137" i="102" s="1"/>
  <c r="CK41" i="102"/>
  <c r="CI277" i="102"/>
  <c r="CI181" i="102"/>
  <c r="CK277" i="102"/>
  <c r="CK181" i="102"/>
  <c r="CJ177" i="102"/>
  <c r="CJ180" i="102"/>
  <c r="CI177" i="102"/>
  <c r="CK177" i="102"/>
  <c r="CI180" i="102"/>
  <c r="CK180" i="102"/>
  <c r="CL134" i="102"/>
  <c r="CL137" i="102" s="1"/>
  <c r="CL41" i="102"/>
  <c r="AI277" i="102"/>
  <c r="AI181" i="102"/>
  <c r="AI134" i="102"/>
  <c r="AI137" i="102" s="1"/>
  <c r="AI41" i="102"/>
  <c r="CL277" i="102"/>
  <c r="CL181" i="102"/>
  <c r="AI177" i="102"/>
  <c r="AI180" i="102"/>
  <c r="CL177" i="102"/>
  <c r="CL180" i="102"/>
  <c r="CM41" i="102"/>
  <c r="CM134" i="102"/>
  <c r="CM137" i="102" s="1"/>
  <c r="CM177" i="102"/>
  <c r="CM181" i="102"/>
  <c r="CM273" i="102"/>
  <c r="CN134" i="102"/>
  <c r="CN137" i="102" s="1"/>
  <c r="CN41" i="102"/>
  <c r="CN177" i="102"/>
  <c r="CN181" i="102"/>
  <c r="CN273" i="102"/>
  <c r="AR277" i="102"/>
  <c r="AR181" i="102"/>
  <c r="AS134" i="102"/>
  <c r="AS137" i="102" s="1"/>
  <c r="AS41" i="102"/>
  <c r="AY134" i="102"/>
  <c r="AY137" i="102" s="1"/>
  <c r="AY41" i="102"/>
  <c r="BX134" i="102"/>
  <c r="BX137" i="102" s="1"/>
  <c r="BX41" i="102"/>
  <c r="AX134" i="102"/>
  <c r="AX137" i="102" s="1"/>
  <c r="AX41" i="102"/>
  <c r="AS277" i="102"/>
  <c r="AS181" i="102"/>
  <c r="AY277" i="102"/>
  <c r="AY181" i="102"/>
  <c r="BX277" i="102"/>
  <c r="BX181" i="102"/>
  <c r="AR134" i="102"/>
  <c r="AR137" i="102" s="1"/>
  <c r="AR41" i="102"/>
  <c r="AT134" i="102"/>
  <c r="AT137" i="102" s="1"/>
  <c r="AT41" i="102"/>
  <c r="AX181" i="102"/>
  <c r="AT181" i="102"/>
  <c r="K41" i="102"/>
  <c r="AS177" i="102"/>
  <c r="AS180" i="102"/>
  <c r="K181" i="102"/>
  <c r="BW41" i="102"/>
  <c r="BX177" i="102"/>
  <c r="BX180" i="102"/>
  <c r="BW181" i="102"/>
  <c r="AR177" i="102"/>
  <c r="AY177" i="102"/>
  <c r="AR180" i="102"/>
  <c r="AY180" i="102"/>
  <c r="BY277" i="102"/>
  <c r="BY181" i="102"/>
  <c r="CA277" i="102"/>
  <c r="CA181" i="102"/>
  <c r="BY134" i="102"/>
  <c r="BY137" i="102" s="1"/>
  <c r="BY41" i="102"/>
  <c r="CA134" i="102"/>
  <c r="CA137" i="102" s="1"/>
  <c r="CA41" i="102"/>
  <c r="BY177" i="102"/>
  <c r="BY180" i="102"/>
  <c r="CB134" i="102"/>
  <c r="CB137" i="102" s="1"/>
  <c r="CB41" i="102"/>
  <c r="CB277" i="102"/>
  <c r="CB181" i="102"/>
  <c r="CA177" i="102"/>
  <c r="CA180" i="102"/>
  <c r="CB177" i="102"/>
  <c r="CB180" i="102"/>
  <c r="CD134" i="102"/>
  <c r="CD137" i="102" s="1"/>
  <c r="CD41" i="102"/>
  <c r="CC277" i="102"/>
  <c r="CC181" i="102"/>
  <c r="CC134" i="102"/>
  <c r="CC137" i="102" s="1"/>
  <c r="CC41" i="102"/>
  <c r="CD277" i="102"/>
  <c r="CD181" i="102"/>
  <c r="CC180" i="102"/>
  <c r="CC270" i="102"/>
  <c r="CD177" i="102"/>
  <c r="CD180" i="102"/>
  <c r="AQ134" i="102"/>
  <c r="AQ137" i="102" s="1"/>
  <c r="AQ41" i="102"/>
  <c r="BO134" i="102"/>
  <c r="BO137" i="102" s="1"/>
  <c r="BO41" i="102"/>
  <c r="BJ277" i="102"/>
  <c r="BJ181" i="102"/>
  <c r="AQ277" i="102"/>
  <c r="AQ181" i="102"/>
  <c r="BM277" i="102"/>
  <c r="BM181" i="102"/>
  <c r="BO277" i="102"/>
  <c r="BO181" i="102"/>
  <c r="BJ134" i="102"/>
  <c r="BJ137" i="102" s="1"/>
  <c r="BJ41" i="102"/>
  <c r="BM134" i="102"/>
  <c r="BM137" i="102" s="1"/>
  <c r="BM41" i="102"/>
  <c r="BM177" i="102"/>
  <c r="BM180" i="102"/>
  <c r="BJ270" i="102"/>
  <c r="BJ273" i="102"/>
  <c r="AP277" i="102"/>
  <c r="I277" i="102"/>
  <c r="BK134" i="102"/>
  <c r="BK137" i="102" s="1"/>
  <c r="BK41" i="102"/>
  <c r="BL134" i="102"/>
  <c r="BL137" i="102" s="1"/>
  <c r="BL41" i="102"/>
  <c r="BN134" i="102"/>
  <c r="BN137" i="102" s="1"/>
  <c r="BN41" i="102"/>
  <c r="BP134" i="102"/>
  <c r="BP137" i="102" s="1"/>
  <c r="BP41" i="102"/>
  <c r="BK277" i="102"/>
  <c r="BK181" i="102"/>
  <c r="BL277" i="102"/>
  <c r="BL181" i="102"/>
  <c r="BN277" i="102"/>
  <c r="BN181" i="102"/>
  <c r="BP277" i="102"/>
  <c r="BP181" i="102"/>
  <c r="AQ177" i="102"/>
  <c r="BO177" i="102"/>
  <c r="AQ180" i="102"/>
  <c r="BO180" i="102"/>
  <c r="I180" i="102"/>
  <c r="BK177" i="102"/>
  <c r="BL177" i="102"/>
  <c r="BN177" i="102"/>
  <c r="BP177" i="102"/>
  <c r="BK180" i="102"/>
  <c r="BL180" i="102"/>
  <c r="BN180" i="102"/>
  <c r="BP180" i="102"/>
  <c r="BQ41" i="102"/>
  <c r="BQ134" i="102"/>
  <c r="BQ137" i="102" s="1"/>
  <c r="BS134" i="102"/>
  <c r="BS137" i="102" s="1"/>
  <c r="BS41" i="102"/>
  <c r="BQ277" i="102"/>
  <c r="BQ181" i="102"/>
  <c r="BS277" i="102"/>
  <c r="BS181" i="102"/>
  <c r="BQ180" i="102"/>
  <c r="BQ270" i="102"/>
  <c r="BS180" i="102"/>
  <c r="BR134" i="102"/>
  <c r="BR137" i="102" s="1"/>
  <c r="BR41" i="102"/>
  <c r="BT134" i="102"/>
  <c r="BT137" i="102" s="1"/>
  <c r="BT41" i="102"/>
  <c r="BR277" i="102"/>
  <c r="BR181" i="102"/>
  <c r="BT277" i="102"/>
  <c r="BT181" i="102"/>
  <c r="BR177" i="102"/>
  <c r="BT177" i="102"/>
  <c r="BR180" i="102"/>
  <c r="BT180" i="102"/>
  <c r="BU134" i="102"/>
  <c r="BU137" i="102" s="1"/>
  <c r="BU41" i="102"/>
  <c r="BV277" i="102"/>
  <c r="BV181" i="102"/>
  <c r="BV134" i="102"/>
  <c r="BV137" i="102" s="1"/>
  <c r="BV41" i="102"/>
  <c r="BU277" i="102"/>
  <c r="BU181" i="102"/>
  <c r="BV177" i="102"/>
  <c r="BV180" i="102"/>
  <c r="BU177" i="102"/>
  <c r="BU180" i="102"/>
  <c r="U273" i="102"/>
  <c r="O273" i="102"/>
  <c r="V180" i="102"/>
  <c r="AW273" i="102"/>
  <c r="BD180" i="102"/>
  <c r="AL273" i="102"/>
  <c r="AA180" i="102"/>
  <c r="Y273" i="102"/>
  <c r="BE270" i="102"/>
  <c r="BG177" i="102"/>
  <c r="AA270" i="102"/>
  <c r="AB177" i="102"/>
  <c r="AW270" i="102"/>
  <c r="V177" i="102"/>
  <c r="U134" i="102"/>
  <c r="U137" i="102" s="1"/>
  <c r="U41" i="102"/>
  <c r="W134" i="102"/>
  <c r="W137" i="102" s="1"/>
  <c r="W41" i="102"/>
  <c r="BE134" i="102"/>
  <c r="BE137" i="102" s="1"/>
  <c r="BE41" i="102"/>
  <c r="P134" i="102"/>
  <c r="P137" i="102" s="1"/>
  <c r="P41" i="102"/>
  <c r="U277" i="102"/>
  <c r="U181" i="102"/>
  <c r="W277" i="102"/>
  <c r="W181" i="102"/>
  <c r="BE181" i="102"/>
  <c r="BE277" i="102"/>
  <c r="P181" i="102"/>
  <c r="P277" i="102"/>
  <c r="O134" i="102"/>
  <c r="O137" i="102" s="1"/>
  <c r="O41" i="102"/>
  <c r="AW134" i="102"/>
  <c r="AW137" i="102" s="1"/>
  <c r="AW41" i="102"/>
  <c r="AL134" i="102"/>
  <c r="AL137" i="102" s="1"/>
  <c r="AL41" i="102"/>
  <c r="X134" i="102"/>
  <c r="X137" i="102" s="1"/>
  <c r="X41" i="102"/>
  <c r="BF134" i="102"/>
  <c r="BF137" i="102" s="1"/>
  <c r="BF41" i="102"/>
  <c r="AA134" i="102"/>
  <c r="AA137" i="102" s="1"/>
  <c r="AA41" i="102"/>
  <c r="AC134" i="102"/>
  <c r="AC137" i="102" s="1"/>
  <c r="AC41" i="102"/>
  <c r="AD134" i="102"/>
  <c r="AD137" i="102" s="1"/>
  <c r="AD41" i="102"/>
  <c r="BD41" i="102"/>
  <c r="AB41" i="102"/>
  <c r="X277" i="102"/>
  <c r="X181" i="102"/>
  <c r="AD277" i="102"/>
  <c r="AD181" i="102"/>
  <c r="BD277" i="102"/>
  <c r="O181" i="102"/>
  <c r="AL181" i="102"/>
  <c r="AB181" i="102"/>
  <c r="AC277" i="102"/>
  <c r="V41" i="102"/>
  <c r="BG41" i="102"/>
  <c r="V277" i="102"/>
  <c r="V181" i="102"/>
  <c r="BG277" i="102"/>
  <c r="BG181" i="102"/>
  <c r="BF181" i="102"/>
  <c r="AP177" i="102"/>
  <c r="AP180" i="102"/>
  <c r="BG273" i="102"/>
  <c r="BG180" i="102"/>
  <c r="AB180" i="102"/>
  <c r="W273" i="102"/>
  <c r="W177" i="102"/>
  <c r="BD181" i="102"/>
  <c r="AA181" i="102"/>
  <c r="X177" i="102"/>
  <c r="AD177" i="102"/>
  <c r="X180" i="102"/>
  <c r="AD180" i="102"/>
  <c r="AE134" i="102"/>
  <c r="AE137" i="102" s="1"/>
  <c r="AE41" i="102"/>
  <c r="BI134" i="102"/>
  <c r="BI137" i="102" s="1"/>
  <c r="BI41" i="102"/>
  <c r="Q134" i="102"/>
  <c r="Q137" i="102" s="1"/>
  <c r="Q41" i="102"/>
  <c r="I41" i="102"/>
  <c r="AM277" i="102"/>
  <c r="AM181" i="102"/>
  <c r="AM134" i="102"/>
  <c r="AM137" i="102" s="1"/>
  <c r="AM41" i="102"/>
  <c r="AE277" i="102"/>
  <c r="AE181" i="102"/>
  <c r="BI277" i="102"/>
  <c r="BI181" i="102"/>
  <c r="Q277" i="102"/>
  <c r="Q181" i="102"/>
  <c r="I181" i="102"/>
  <c r="Y181" i="102"/>
  <c r="BH41" i="102"/>
  <c r="AE177" i="102"/>
  <c r="AE180" i="102"/>
  <c r="BH181" i="102"/>
  <c r="AP41" i="102"/>
  <c r="Q177" i="102"/>
  <c r="Q180" i="102"/>
  <c r="AP181" i="102"/>
  <c r="AM177" i="102"/>
  <c r="BI177" i="102"/>
  <c r="AM180" i="102"/>
  <c r="BI180" i="102"/>
  <c r="Z277" i="102"/>
  <c r="Z181" i="102"/>
  <c r="L277" i="102"/>
  <c r="L181" i="102"/>
  <c r="Z134" i="102"/>
  <c r="Z137" i="102" s="1"/>
  <c r="Z41" i="102"/>
  <c r="L134" i="102"/>
  <c r="L137" i="102" s="1"/>
  <c r="L41" i="102"/>
  <c r="Z177" i="102"/>
  <c r="Z180" i="102"/>
  <c r="AN134" i="102"/>
  <c r="AN137" i="102" s="1"/>
  <c r="AN41" i="102"/>
  <c r="R134" i="102"/>
  <c r="R137" i="102" s="1"/>
  <c r="R41" i="102"/>
  <c r="AN277" i="102"/>
  <c r="AN181" i="102"/>
  <c r="R277" i="102"/>
  <c r="R181" i="102"/>
  <c r="L177" i="102"/>
  <c r="L180" i="102"/>
  <c r="AN177" i="102"/>
  <c r="R177" i="102"/>
  <c r="AN180" i="102"/>
  <c r="R180" i="102"/>
  <c r="AO134" i="102"/>
  <c r="AO137" i="102" s="1"/>
  <c r="AO41" i="102"/>
  <c r="J274" i="102"/>
  <c r="J277" i="102" s="1"/>
  <c r="J181" i="102"/>
  <c r="J134" i="102"/>
  <c r="J137" i="102" s="1"/>
  <c r="J41" i="102"/>
  <c r="AO277" i="102"/>
  <c r="AO181" i="102"/>
  <c r="J177" i="102"/>
  <c r="J180" i="102"/>
  <c r="AO177" i="102"/>
  <c r="AO180" i="102"/>
  <c r="CE137" i="102"/>
  <c r="CE277" i="102"/>
  <c r="CE41" i="102"/>
  <c r="CE177" i="102"/>
  <c r="CE181" i="102"/>
  <c r="CE273" i="102"/>
  <c r="CF134" i="102"/>
  <c r="CF137" i="102" s="1"/>
  <c r="CF41" i="102"/>
  <c r="CF177" i="102"/>
  <c r="CF181" i="102"/>
  <c r="CF273" i="102"/>
  <c r="F266" i="102"/>
  <c r="F276" i="102" s="1"/>
  <c r="F262" i="102"/>
  <c r="F275" i="102" s="1"/>
  <c r="F179" i="102"/>
  <c r="F178" i="102"/>
  <c r="F173" i="102"/>
  <c r="F170" i="102"/>
  <c r="F274" i="102" s="1"/>
  <c r="F163" i="102"/>
  <c r="F180" i="102" s="1"/>
  <c r="F162" i="102"/>
  <c r="F156" i="102"/>
  <c r="F280" i="102" s="1"/>
  <c r="F155" i="102"/>
  <c r="F152" i="102"/>
  <c r="F147" i="102"/>
  <c r="F272" i="102" s="1"/>
  <c r="F146" i="102"/>
  <c r="F271" i="102" s="1"/>
  <c r="F145" i="102"/>
  <c r="F270" i="102" s="1"/>
  <c r="F140" i="102"/>
  <c r="F133" i="102"/>
  <c r="F132" i="102"/>
  <c r="F131" i="102"/>
  <c r="F130" i="102"/>
  <c r="F126" i="102"/>
  <c r="F136" i="102" s="1"/>
  <c r="F135" i="102"/>
  <c r="F40" i="102"/>
  <c r="F28" i="102"/>
  <c r="F30" i="102" s="1"/>
  <c r="H266" i="102"/>
  <c r="H276" i="102" s="1"/>
  <c r="H262" i="102"/>
  <c r="H275" i="102" s="1"/>
  <c r="H179" i="102"/>
  <c r="H178" i="102"/>
  <c r="H173" i="102"/>
  <c r="H170" i="102"/>
  <c r="H274" i="102" s="1"/>
  <c r="H163" i="102"/>
  <c r="H180" i="102" s="1"/>
  <c r="H162" i="102"/>
  <c r="H159" i="102"/>
  <c r="H156" i="102"/>
  <c r="H280" i="102" s="1"/>
  <c r="H155" i="102"/>
  <c r="H152" i="102"/>
  <c r="H147" i="102"/>
  <c r="H272" i="102" s="1"/>
  <c r="H146" i="102"/>
  <c r="H271" i="102" s="1"/>
  <c r="H145" i="102"/>
  <c r="H270" i="102" s="1"/>
  <c r="H140" i="102"/>
  <c r="H133" i="102"/>
  <c r="H132" i="102"/>
  <c r="H131" i="102"/>
  <c r="H130" i="102"/>
  <c r="H126" i="102"/>
  <c r="H136" i="102" s="1"/>
  <c r="H135" i="102"/>
  <c r="H40" i="102"/>
  <c r="H28" i="102"/>
  <c r="H30" i="102" s="1"/>
  <c r="F277" i="102" l="1"/>
  <c r="F134" i="102"/>
  <c r="F137" i="102" s="1"/>
  <c r="F41" i="102"/>
  <c r="F177" i="102"/>
  <c r="F181" i="102"/>
  <c r="F273" i="102"/>
  <c r="H277" i="102"/>
  <c r="H134" i="102"/>
  <c r="H137" i="102" s="1"/>
  <c r="H41" i="102"/>
  <c r="H177" i="102"/>
  <c r="H181" i="102"/>
  <c r="H273" i="102"/>
  <c r="G266" i="102"/>
  <c r="G276" i="102" s="1"/>
  <c r="G262" i="102"/>
  <c r="G275" i="102" s="1"/>
  <c r="G179" i="102"/>
  <c r="G178" i="102"/>
  <c r="G173" i="102"/>
  <c r="G170" i="102"/>
  <c r="G274" i="102" s="1"/>
  <c r="G163" i="102"/>
  <c r="G180" i="102" s="1"/>
  <c r="G162" i="102"/>
  <c r="G159" i="102"/>
  <c r="G156" i="102"/>
  <c r="G280" i="102" s="1"/>
  <c r="G155" i="102"/>
  <c r="G152" i="102"/>
  <c r="G147" i="102"/>
  <c r="G272" i="102" s="1"/>
  <c r="G146" i="102"/>
  <c r="G271" i="102" s="1"/>
  <c r="G145" i="102"/>
  <c r="G270" i="102" s="1"/>
  <c r="G140" i="102"/>
  <c r="G133" i="102"/>
  <c r="G132" i="102"/>
  <c r="G131" i="102"/>
  <c r="G130" i="102"/>
  <c r="G126" i="102"/>
  <c r="G136" i="102" s="1"/>
  <c r="G135" i="102"/>
  <c r="G40" i="102"/>
  <c r="G28" i="102"/>
  <c r="G30" i="102" s="1"/>
  <c r="G277" i="102" l="1"/>
  <c r="G134" i="102"/>
  <c r="G137" i="102" s="1"/>
  <c r="G41" i="102"/>
  <c r="G177" i="102"/>
  <c r="G181" i="102"/>
  <c r="G273" i="102"/>
  <c r="D262" i="102" l="1"/>
  <c r="C262" i="102" l="1"/>
  <c r="D19" i="93"/>
  <c r="D20" i="93"/>
  <c r="D21" i="93"/>
  <c r="D23" i="93"/>
  <c r="D24" i="93"/>
  <c r="D28" i="93"/>
  <c r="D29" i="93"/>
  <c r="D31" i="93"/>
  <c r="D33" i="93"/>
  <c r="C62" i="102"/>
  <c r="D36" i="93" s="1"/>
  <c r="C63" i="102"/>
  <c r="D37" i="93" s="1"/>
  <c r="C66" i="102"/>
  <c r="D40" i="93" s="1"/>
  <c r="C68" i="102"/>
  <c r="D42" i="93" s="1"/>
  <c r="C69" i="102"/>
  <c r="D43" i="93" s="1"/>
  <c r="C70" i="102"/>
  <c r="D44" i="93" s="1"/>
  <c r="C73" i="102"/>
  <c r="D47" i="93" s="1"/>
  <c r="C74" i="102"/>
  <c r="D48" i="93" s="1"/>
  <c r="C75" i="102"/>
  <c r="D49" i="93" s="1"/>
  <c r="C78" i="102"/>
  <c r="D52" i="93" s="1"/>
  <c r="C79" i="102"/>
  <c r="D53" i="93" s="1"/>
  <c r="C80" i="102"/>
  <c r="D54" i="93" s="1"/>
  <c r="C82" i="102"/>
  <c r="D56" i="93" s="1"/>
  <c r="C83" i="102"/>
  <c r="D57" i="93" s="1"/>
  <c r="C84" i="102"/>
  <c r="D58" i="93" s="1"/>
  <c r="C86" i="102"/>
  <c r="D60" i="93" s="1"/>
  <c r="C87" i="102"/>
  <c r="D61" i="93" s="1"/>
  <c r="C88" i="102"/>
  <c r="D62" i="93" s="1"/>
  <c r="C91" i="102"/>
  <c r="D65" i="93" s="1"/>
  <c r="C94" i="102"/>
  <c r="D68" i="93" s="1"/>
  <c r="C96" i="102"/>
  <c r="D70" i="93" s="1"/>
  <c r="C97" i="102"/>
  <c r="D71" i="93" s="1"/>
  <c r="C100" i="102"/>
  <c r="D74" i="93" s="1"/>
  <c r="C102" i="102"/>
  <c r="D76" i="93" s="1"/>
  <c r="C104" i="102"/>
  <c r="D78" i="93" s="1"/>
  <c r="C105" i="102"/>
  <c r="D79" i="93" s="1"/>
  <c r="C109" i="102"/>
  <c r="D83" i="93" s="1"/>
  <c r="C111" i="102"/>
  <c r="D85" i="93" s="1"/>
  <c r="C112" i="102"/>
  <c r="D86" i="93" s="1"/>
  <c r="C114" i="102"/>
  <c r="D88" i="93" s="1"/>
  <c r="C115" i="102"/>
  <c r="D89" i="93" s="1"/>
  <c r="C118" i="102"/>
  <c r="D92" i="93" s="1"/>
  <c r="C120" i="102"/>
  <c r="D94" i="93" s="1"/>
  <c r="C121" i="102"/>
  <c r="D95" i="93" s="1"/>
  <c r="D178" i="102" l="1"/>
  <c r="C265" i="102" l="1"/>
  <c r="C169" i="102"/>
  <c r="C167" i="102"/>
  <c r="C166" i="102"/>
  <c r="C151" i="102"/>
  <c r="C141" i="102"/>
  <c r="C125" i="102"/>
  <c r="C29" i="102"/>
  <c r="C27" i="102"/>
  <c r="C26" i="102"/>
  <c r="C18" i="102"/>
  <c r="C10" i="102"/>
  <c r="B182" i="102" l="1"/>
  <c r="B280" i="102"/>
  <c r="B279" i="102"/>
  <c r="B274" i="102"/>
  <c r="B273" i="102"/>
  <c r="B272" i="102"/>
  <c r="B271" i="102"/>
  <c r="B270" i="102"/>
  <c r="B269" i="102"/>
  <c r="D266" i="102"/>
  <c r="B264" i="102"/>
  <c r="B181" i="102"/>
  <c r="B180" i="102"/>
  <c r="D179" i="102"/>
  <c r="C179" i="102"/>
  <c r="B179" i="102"/>
  <c r="C178" i="102"/>
  <c r="B178" i="102"/>
  <c r="D173" i="102"/>
  <c r="B173" i="102"/>
  <c r="B172" i="102"/>
  <c r="B165" i="102"/>
  <c r="D163" i="102"/>
  <c r="D180" i="102" s="1"/>
  <c r="B163" i="102"/>
  <c r="D162" i="102"/>
  <c r="B162" i="102"/>
  <c r="B161" i="102"/>
  <c r="B158" i="102"/>
  <c r="D156" i="102"/>
  <c r="C156" i="102"/>
  <c r="B156" i="102"/>
  <c r="D155" i="102"/>
  <c r="C155" i="102"/>
  <c r="B155" i="102"/>
  <c r="B154" i="102"/>
  <c r="D152" i="102"/>
  <c r="B152" i="102"/>
  <c r="B150" i="102"/>
  <c r="D147" i="102"/>
  <c r="D272" i="102" s="1"/>
  <c r="B147" i="102"/>
  <c r="D146" i="102"/>
  <c r="B146" i="102"/>
  <c r="D145" i="102"/>
  <c r="D270" i="102" s="1"/>
  <c r="B145" i="102"/>
  <c r="B144" i="102"/>
  <c r="C159" i="102"/>
  <c r="D140" i="102"/>
  <c r="B140" i="102"/>
  <c r="B134" i="102"/>
  <c r="D133" i="102"/>
  <c r="D132" i="102"/>
  <c r="D131" i="102"/>
  <c r="D130" i="102"/>
  <c r="D126" i="102"/>
  <c r="D122" i="102"/>
  <c r="D40" i="102"/>
  <c r="D37" i="102"/>
  <c r="D28" i="102"/>
  <c r="C126" i="102" l="1"/>
  <c r="C136" i="102" s="1"/>
  <c r="C28" i="102"/>
  <c r="C168" i="102"/>
  <c r="D275" i="102"/>
  <c r="C281" i="102" s="1"/>
  <c r="C275" i="102"/>
  <c r="D276" i="102"/>
  <c r="C266" i="102"/>
  <c r="C276" i="102" s="1"/>
  <c r="D135" i="102"/>
  <c r="C122" i="102"/>
  <c r="C135" i="102" s="1"/>
  <c r="D30" i="102"/>
  <c r="D134" i="102" s="1"/>
  <c r="D170" i="102"/>
  <c r="C170" i="102" s="1"/>
  <c r="H11" i="93" s="1"/>
  <c r="D271" i="102"/>
  <c r="D273" i="102"/>
  <c r="D280" i="102"/>
  <c r="D136" i="102"/>
  <c r="D177" i="102"/>
  <c r="H20" i="93" l="1"/>
  <c r="H19" i="93"/>
  <c r="H21" i="93"/>
  <c r="D41" i="102"/>
  <c r="C30" i="102"/>
  <c r="E11" i="93" s="1"/>
  <c r="D137" i="102"/>
  <c r="C137" i="102" s="1"/>
  <c r="E12" i="93" s="1"/>
  <c r="D181" i="102"/>
  <c r="D274" i="102"/>
  <c r="D277" i="102" s="1"/>
  <c r="C277" i="102" s="1"/>
  <c r="H12" i="93" s="1"/>
  <c r="E19" i="93" l="1"/>
  <c r="E39" i="93"/>
  <c r="H31" i="93"/>
  <c r="H56" i="93"/>
  <c r="H78" i="93"/>
  <c r="E77" i="93"/>
  <c r="H40" i="93"/>
  <c r="H62" i="93"/>
  <c r="H92" i="93"/>
  <c r="H28" i="93"/>
  <c r="H53" i="93"/>
  <c r="H76" i="93"/>
  <c r="E26" i="93"/>
  <c r="H29" i="93"/>
  <c r="H54" i="93"/>
  <c r="H77" i="93"/>
  <c r="H44" i="93"/>
  <c r="H68" i="93"/>
  <c r="H90" i="93"/>
  <c r="H52" i="93"/>
  <c r="H79" i="93"/>
  <c r="H42" i="93"/>
  <c r="H88" i="93"/>
  <c r="H43" i="93"/>
  <c r="H65" i="93"/>
  <c r="E73" i="93"/>
  <c r="H39" i="93"/>
  <c r="H61" i="93"/>
  <c r="H85" i="93"/>
  <c r="H47" i="93"/>
  <c r="H69" i="93"/>
  <c r="E63" i="93"/>
  <c r="H36" i="93"/>
  <c r="H58" i="93"/>
  <c r="H82" i="93"/>
  <c r="E69" i="93"/>
  <c r="H37" i="93"/>
  <c r="H60" i="93"/>
  <c r="H83" i="93"/>
  <c r="H26" i="93"/>
  <c r="E82" i="93"/>
  <c r="H63" i="93"/>
  <c r="E90" i="93"/>
  <c r="H89" i="93"/>
  <c r="H24" i="93"/>
  <c r="H50" i="93"/>
  <c r="H73" i="93"/>
  <c r="E50" i="93"/>
  <c r="H33" i="93"/>
  <c r="H57" i="93"/>
  <c r="H86" i="93"/>
  <c r="H48" i="93"/>
  <c r="H70" i="93"/>
  <c r="H94" i="93"/>
  <c r="H23" i="93"/>
  <c r="H49" i="93"/>
  <c r="H71" i="93"/>
  <c r="H95" i="93"/>
  <c r="E49" i="93"/>
  <c r="E68" i="93"/>
  <c r="E83" i="93"/>
  <c r="E88" i="93"/>
  <c r="E57" i="93"/>
  <c r="E29" i="93"/>
  <c r="E56" i="93"/>
  <c r="E76" i="93"/>
  <c r="E89" i="93"/>
  <c r="E31" i="93"/>
  <c r="E86" i="93"/>
  <c r="E36" i="93"/>
  <c r="E54" i="93"/>
  <c r="E58" i="93"/>
  <c r="E79" i="93"/>
  <c r="E52" i="93"/>
  <c r="E21" i="93"/>
  <c r="E43" i="93"/>
  <c r="E60" i="93"/>
  <c r="E65" i="93"/>
  <c r="E23" i="93"/>
  <c r="E70" i="93"/>
  <c r="E20" i="93"/>
  <c r="E42" i="93"/>
  <c r="E47" i="93"/>
  <c r="E71" i="93"/>
  <c r="E44" i="93"/>
  <c r="E94" i="93"/>
  <c r="E28" i="93"/>
  <c r="E48" i="93"/>
  <c r="E53" i="93"/>
  <c r="E61" i="93"/>
  <c r="E85" i="93"/>
  <c r="E24" i="93"/>
  <c r="E95" i="93"/>
  <c r="E62" i="93"/>
  <c r="E37" i="93"/>
  <c r="E78" i="93"/>
  <c r="E92" i="93"/>
  <c r="E33" i="93"/>
  <c r="E40" i="93"/>
  <c r="C134" i="102"/>
  <c r="C41" i="102"/>
  <c r="C274" i="102"/>
  <c r="C181" i="102"/>
</calcChain>
</file>

<file path=xl/sharedStrings.xml><?xml version="1.0" encoding="utf-8"?>
<sst xmlns="http://schemas.openxmlformats.org/spreadsheetml/2006/main" count="2852" uniqueCount="1176">
  <si>
    <t>Agency Responding</t>
  </si>
  <si>
    <t>Date of Submission</t>
  </si>
  <si>
    <t>Types of Measures</t>
  </si>
  <si>
    <t>Outcome Measure</t>
  </si>
  <si>
    <t>Efficiency Measure</t>
  </si>
  <si>
    <t>Output Measure</t>
  </si>
  <si>
    <t>PM Related To:</t>
  </si>
  <si>
    <t>Mission Effectiveness</t>
  </si>
  <si>
    <t>Mission Efficiency</t>
  </si>
  <si>
    <t>Quality (Customer Satisfaction)</t>
  </si>
  <si>
    <t>Workforce Engagement</t>
  </si>
  <si>
    <t>Operational/Work System Performance</t>
  </si>
  <si>
    <t>PM Required By:</t>
  </si>
  <si>
    <t>Agency Selected</t>
  </si>
  <si>
    <t>State</t>
  </si>
  <si>
    <t>Federal</t>
  </si>
  <si>
    <t>Input/Activity Measure</t>
  </si>
  <si>
    <t>Does Agency believe program is within mission</t>
  </si>
  <si>
    <t>Yes</t>
  </si>
  <si>
    <t>No</t>
  </si>
  <si>
    <t>Responsible for more or less than 3 years</t>
  </si>
  <si>
    <t>More than 3 years</t>
  </si>
  <si>
    <t>Less than 3 years</t>
  </si>
  <si>
    <t>Federal Government</t>
  </si>
  <si>
    <t>State Government</t>
  </si>
  <si>
    <t>2016-17</t>
  </si>
  <si>
    <t>Associated Organizational Unit(s)</t>
  </si>
  <si>
    <t xml:space="preserve">Total amount budgeted </t>
  </si>
  <si>
    <t xml:space="preserve">Total amount spent </t>
  </si>
  <si>
    <t xml:space="preserve">Recurring or one-time? </t>
  </si>
  <si>
    <t>Line #</t>
  </si>
  <si>
    <t>Private Business</t>
  </si>
  <si>
    <t>Associated Performance Measures</t>
  </si>
  <si>
    <t>2017-18</t>
  </si>
  <si>
    <t>N/A</t>
  </si>
  <si>
    <t xml:space="preserve">Total Appropriated and Authorized (i.e. allowed to spend) at start of 2016-17  </t>
  </si>
  <si>
    <t xml:space="preserve">Total Appropriated and Authorized (i.e. allowed to spend) by the end of 2016-17  </t>
  </si>
  <si>
    <t>Fund Description</t>
  </si>
  <si>
    <t>State Funded Program #</t>
  </si>
  <si>
    <t>Total spent/transferred not toward agency's strategic plan</t>
  </si>
  <si>
    <t xml:space="preserve">Total Appropriated and Authorized (i.e. allowed to spend) at start of 2017-18  </t>
  </si>
  <si>
    <t>Total Spent toward Agency's Comprehensive Strategic Plan</t>
  </si>
  <si>
    <t>State Funded Program Description in the General Appropriations Act</t>
  </si>
  <si>
    <t>2016-17 Comprehensive Strategic Spending</t>
  </si>
  <si>
    <t>2017-18 Comprehensive Strategic Budgeting</t>
  </si>
  <si>
    <t>Revenue Generated Last Year</t>
  </si>
  <si>
    <t>Total revenue generated by June 30, 2016 (end of 2015-16)</t>
  </si>
  <si>
    <t>Cash Balances at Start of Year</t>
  </si>
  <si>
    <t>Amounts Appropriated and Authorized</t>
  </si>
  <si>
    <t>General Appropriations Act Programs</t>
  </si>
  <si>
    <r>
      <rPr>
        <sz val="10"/>
        <rFont val="Calibri Light"/>
        <family val="2"/>
        <scheme val="major"/>
      </rPr>
      <t>Database(s) through which expenditures are tracked</t>
    </r>
    <r>
      <rPr>
        <b/>
        <sz val="10"/>
        <rFont val="Calibri Light"/>
        <family val="2"/>
        <scheme val="major"/>
      </rPr>
      <t/>
    </r>
  </si>
  <si>
    <r>
      <t xml:space="preserve">Spent toward Agency's 2016-17 Comprehensive Strategic Plan </t>
    </r>
    <r>
      <rPr>
        <sz val="10"/>
        <rFont val="Calibri Light"/>
        <family val="2"/>
        <scheme val="major"/>
      </rPr>
      <t>- By Strategy at a minimum, and if possible, by Objective</t>
    </r>
  </si>
  <si>
    <t xml:space="preserve">Total Appropriated and Authorized (i.e. allowed to spend) by end of 2016-17  </t>
  </si>
  <si>
    <t>(minus) Spent to Achieve Agency's Comprehensive Strategic Plan</t>
  </si>
  <si>
    <t xml:space="preserve">(minus) Spent/Transferred not toward Agency's Comprehensive Strategic Plan </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</si>
  <si>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</si>
  <si>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</si>
  <si>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</si>
  <si>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</si>
  <si>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</si>
  <si>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</si>
  <si>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</si>
  <si>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</si>
  <si>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</si>
  <si>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</si>
  <si>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</si>
  <si>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</si>
  <si>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</si>
  <si>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</si>
  <si>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</si>
  <si>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</si>
  <si>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</si>
  <si>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</si>
  <si>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</si>
  <si>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</si>
  <si>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</si>
  <si>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</si>
  <si>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</si>
  <si>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</si>
  <si>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</si>
  <si>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</si>
  <si>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</si>
  <si>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</si>
  <si>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</si>
  <si>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</si>
  <si>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</si>
  <si>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</si>
  <si>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</si>
  <si>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</si>
  <si>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</si>
  <si>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</si>
  <si>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Cash Balances at end of year</t>
  </si>
  <si>
    <t>Funds in SCEIS where Revenue deposited</t>
  </si>
  <si>
    <t>Total revenue generated by June 30, 2017 (end of 2016-17) (BUDGETED)</t>
  </si>
  <si>
    <t xml:space="preserve">Total Appropriated and Authorized (i.e. allowed to spend) by end of 2017-18 (BUDGETED)  </t>
  </si>
  <si>
    <t>Total Spent toward Agency's Comprehensive Strategic Plan (BUDGETED)</t>
  </si>
  <si>
    <t>Total spent/transferred not toward agency's strategic plan (BUDGETED)</t>
  </si>
  <si>
    <t>(minus) Spent to Achieve Agency's Comprehensive Strategic Plan (BUDGETED)</t>
  </si>
  <si>
    <t>(minus) Spent/Transferred not toward Agency's Comprehensive Strategic Plan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</si>
  <si>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</si>
  <si>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</si>
  <si>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</si>
  <si>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</si>
  <si>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</si>
  <si>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</si>
  <si>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</si>
  <si>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</si>
  <si>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</si>
  <si>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</si>
  <si>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</si>
  <si>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</si>
  <si>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</si>
  <si>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</si>
  <si>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</si>
  <si>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</si>
  <si>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</si>
  <si>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</si>
  <si>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</si>
  <si>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</si>
  <si>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</si>
  <si>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</si>
  <si>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</si>
  <si>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</si>
  <si>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</si>
  <si>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</si>
  <si>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</si>
  <si>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</si>
  <si>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</si>
  <si>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</si>
  <si>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</si>
  <si>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</si>
  <si>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33A</t>
  </si>
  <si>
    <t>Does this revenue remain with the agency or go to the General Fund?</t>
  </si>
  <si>
    <t>Amounts appropriated, and amounts authorized, to the agency for 2015-16 that were not spent AND the agency is authorized to spend in 2016-17</t>
  </si>
  <si>
    <t>34A</t>
  </si>
  <si>
    <t>Amounts appropriated, and amounts authorized, to the agency for 2016-17 that were not spent AND the agency is authorized to spend in 2017-18</t>
  </si>
  <si>
    <r>
      <t xml:space="preserve">Budgeted toward Agency's 2017-18 Comprehensive Strategic Plan </t>
    </r>
    <r>
      <rPr>
        <sz val="10"/>
        <rFont val="Calibri Light"/>
        <family val="2"/>
        <scheme val="major"/>
      </rPr>
      <t>- By Strategy at a minimum, and if possible, by Objective</t>
    </r>
  </si>
  <si>
    <t>33B</t>
  </si>
  <si>
    <t>34B</t>
  </si>
  <si>
    <t>Revenue Source</t>
  </si>
  <si>
    <t>Department of Natural Resources</t>
  </si>
  <si>
    <t>Goal 1 - Develop and Implement programs that study, manage and conserve the State’s Land and Water Resources through planning, research, technical assistance, public education and the development of a comprehensive natural resources database.</t>
  </si>
  <si>
    <t>Strategy 1.5 - Conservation Districts Program assists farmers, ranchers and landowners with Conservation planning and facilitates access to Farm Bill programs through a partnership with the United State Department of Agriculture (USDA).</t>
  </si>
  <si>
    <t>Strategy 2.1 - Provide for a safe hunting, fishing, and boating environment through outreach.</t>
  </si>
  <si>
    <t>Objective 2.1.1 - Provide for a safe hunting, fishing, and boating environment through outreach.</t>
  </si>
  <si>
    <t>Strategy 2.2 - Provide for protection of lives and property.</t>
  </si>
  <si>
    <t>Objective 2.3.3 - Administration of the Law Enforcement Program and Staff.</t>
  </si>
  <si>
    <t xml:space="preserve">Objective 3.2.2 - Determine fishery harvest totals, harvest rates, and fishing effort. </t>
  </si>
  <si>
    <t xml:space="preserve">Objective 3.3.3 - Ensure the commercial and recreational oyster beds are replenished with shell substrate.  </t>
  </si>
  <si>
    <t xml:space="preserve">Objective 3.4.3 - Provide paper and electronic information and literature on marine resources to the public. </t>
  </si>
  <si>
    <t>Goal 4 - Monitor and protect wildlife species and inland aquatic species and their habitats throughout the state and provide recreational hunting and fishing opportunities to the public.</t>
  </si>
  <si>
    <t>Number of Man Days Sampling Marine Fauna</t>
  </si>
  <si>
    <t xml:space="preserve">Number  of  social and economic surveys  </t>
  </si>
  <si>
    <t xml:space="preserve">Percentage of Fisheries Harvest Reports Processed within 90 days of end of Month </t>
  </si>
  <si>
    <t xml:space="preserve">Percentage of 15 required Atl. States Mar. Fish. Comm. Species Reports submitted on time </t>
  </si>
  <si>
    <t>Number of Marine Game Fish Stocked in Coastal Waters</t>
  </si>
  <si>
    <t>Cubic Feet of Marine Habitat Created Annually on Marine Artificial Reefs</t>
  </si>
  <si>
    <t xml:space="preserve">Number of bushels of oyster shucked shell Collected </t>
  </si>
  <si>
    <t>Number of  School children and teachers  informed about the marine environment</t>
  </si>
  <si>
    <t xml:space="preserve">Federal </t>
  </si>
  <si>
    <t>Additional Notes/Explanation</t>
  </si>
  <si>
    <t>Spent/Transferred not toward Agency’s Comprehensive Strategic Plan</t>
  </si>
  <si>
    <t>Amount of remaining</t>
  </si>
  <si>
    <t xml:space="preserve">General Fund </t>
  </si>
  <si>
    <t>Recurring</t>
  </si>
  <si>
    <t>One-Time</t>
  </si>
  <si>
    <t>SCEIS</t>
  </si>
  <si>
    <t>Federal Awards</t>
  </si>
  <si>
    <t xml:space="preserve">50550000  50560000  55110001   55420000                   </t>
  </si>
  <si>
    <t>57878000    57878010   57878020</t>
  </si>
  <si>
    <t>Capital Proj-Federal</t>
  </si>
  <si>
    <t>Indirect Cost</t>
  </si>
  <si>
    <t>28230000  28370000</t>
  </si>
  <si>
    <t>General Fund</t>
  </si>
  <si>
    <t>Indirect Cost Recov;      General Revenue</t>
  </si>
  <si>
    <t>0102.000000.000</t>
  </si>
  <si>
    <t>Administration</t>
  </si>
  <si>
    <t>SCEIS, Excel</t>
  </si>
  <si>
    <t>Hunting &amp; Fishing Fines</t>
  </si>
  <si>
    <t>Other</t>
  </si>
  <si>
    <t>Private Coop Water Studies</t>
  </si>
  <si>
    <t>County Water Recreation Funds</t>
  </si>
  <si>
    <t>County Water Recreation Funds-Law Enforcement</t>
  </si>
  <si>
    <t>County Water Recreation Funds-Boating Access/ Engineering</t>
  </si>
  <si>
    <t>County Water Recreation Funds-Aquatic Nuisance Plants</t>
  </si>
  <si>
    <t>County Water Recreation Funds- County Funds</t>
  </si>
  <si>
    <t>Aerial Photography Program</t>
  </si>
  <si>
    <t>Other Operating-Law Enforcement</t>
  </si>
  <si>
    <t>Other Operating-Marine Resources</t>
  </si>
  <si>
    <t>Other Operating- Wildlife &amp; Freshwater Fisheries</t>
  </si>
  <si>
    <t>Other Operating-Land, Water &amp; Conservation</t>
  </si>
  <si>
    <t>Other Operating-Outreach &amp; Support Services</t>
  </si>
  <si>
    <t>Other Operating-Indirect Cost Recovery</t>
  </si>
  <si>
    <t xml:space="preserve">Other Operating-Yawkey </t>
  </si>
  <si>
    <t>Other Operating-Pittman Robinson Match (Prov 117.143)</t>
  </si>
  <si>
    <t>Other Operating-NAWCA Match (Prov 117.144)</t>
  </si>
  <si>
    <t>Donations</t>
  </si>
  <si>
    <t>36008000  36008010   36008020</t>
  </si>
  <si>
    <t>Capital Projects-State Appropriations</t>
  </si>
  <si>
    <t>Comprehensive Relicensing Agreements</t>
  </si>
  <si>
    <t>Comprehensive Relicensing Agreement-Catawba Wateree Basin-Duke</t>
  </si>
  <si>
    <t xml:space="preserve">Boat Titling/Registration </t>
  </si>
  <si>
    <t xml:space="preserve">Boat Titling/Registration- Drew's Law-Law Enforcement </t>
  </si>
  <si>
    <t xml:space="preserve">Boat Titling/Registration-Administration </t>
  </si>
  <si>
    <t xml:space="preserve">Boat Titling/Registration-Land, Water &amp; Conservation </t>
  </si>
  <si>
    <t xml:space="preserve">Boat Titling/Registration-DOR Casual Tax </t>
  </si>
  <si>
    <t xml:space="preserve">Boat Titling/Registration- Law Enforcement Inventory </t>
  </si>
  <si>
    <t>39078000  39078010  39078020</t>
  </si>
  <si>
    <t>Capital Projects - Other Funds</t>
  </si>
  <si>
    <t>Map Sales</t>
  </si>
  <si>
    <t>Agency</t>
  </si>
  <si>
    <t>Magazine Subscriptions</t>
  </si>
  <si>
    <t>Indirect Cost Recovery non PR/DJ Grants</t>
  </si>
  <si>
    <t>One-time</t>
  </si>
  <si>
    <t>Operating Contributions</t>
  </si>
  <si>
    <t>Cash Transfers</t>
  </si>
  <si>
    <t>Boating Fines; Boat Titling &amp; Registration Fees</t>
  </si>
  <si>
    <t>Boat Titling &amp; Registration Fees</t>
  </si>
  <si>
    <t>Overpayments</t>
  </si>
  <si>
    <t>Hydroelectric Relicensing Agreement Settlement</t>
  </si>
  <si>
    <t>Cash Transfer</t>
  </si>
  <si>
    <t>Unrestricted Donations</t>
  </si>
  <si>
    <t>Cash Transfer from SC Conservation Bank</t>
  </si>
  <si>
    <t>Operating Contributions-Yawkey Foundation</t>
  </si>
  <si>
    <t>Other Operating Revenue</t>
  </si>
  <si>
    <t>6000.600100.000</t>
  </si>
  <si>
    <t>Earth Science</t>
  </si>
  <si>
    <t>6000.250100.000</t>
  </si>
  <si>
    <t>6000.140500.000</t>
  </si>
  <si>
    <t>County Water Recreation Fund</t>
  </si>
  <si>
    <t>6001.120100.000</t>
  </si>
  <si>
    <t>6000.221500.000</t>
  </si>
  <si>
    <t>Fisheries-Regional Operations</t>
  </si>
  <si>
    <t>9900.000000.000</t>
  </si>
  <si>
    <t>6000.051000.000</t>
  </si>
  <si>
    <t>6000.220100.000</t>
  </si>
  <si>
    <t>6000.220500.000</t>
  </si>
  <si>
    <t>Wildlife-Statewide Operations</t>
  </si>
  <si>
    <t>Magazine</t>
  </si>
  <si>
    <t>6000.14100.000</t>
  </si>
  <si>
    <t>County Game &amp; Fish Fund</t>
  </si>
  <si>
    <t>Projects consistent with agreement</t>
  </si>
  <si>
    <t>Pass through to USGS-Stream Gauges</t>
  </si>
  <si>
    <t xml:space="preserve">Local Govt Contributions fund corresponding mapping </t>
  </si>
  <si>
    <t>State-NAWCA grant match or similar projects</t>
  </si>
  <si>
    <t>Yawkey Foundation-Reimbursement for Yawkey Wildlife Center expenditures</t>
  </si>
  <si>
    <t>Subscription revenue to fund magazine production &amp; distribution</t>
  </si>
  <si>
    <t>Nongame Wildlife &amp; Natural Areas Fund</t>
  </si>
  <si>
    <t>Aquatic Plant Management Trust Fund</t>
  </si>
  <si>
    <t>Yawkey Wildlife Trust Fund</t>
  </si>
  <si>
    <t>Yawkey Wildlife Operating Fund</t>
  </si>
  <si>
    <t>Heritage Trust Operating-Habitat Protection</t>
  </si>
  <si>
    <t>Heritage Trust Operating-Cultural Preserves</t>
  </si>
  <si>
    <t>Heritage Trust Operating-Heritage Preserves</t>
  </si>
  <si>
    <t>Heritage Trust Operating-Coastal Preserves</t>
  </si>
  <si>
    <t>44K80000  44K80001  44K80002</t>
  </si>
  <si>
    <t>Fish &amp; Wildlife Deferred License</t>
  </si>
  <si>
    <t>44K90000  44K90001  44K90002</t>
  </si>
  <si>
    <t>Marine Resources Deferred License</t>
  </si>
  <si>
    <t>Heritage Land Trust Fund</t>
  </si>
  <si>
    <t>Mitigation Trust Operating Fund</t>
  </si>
  <si>
    <t>Mitigation Trust Operating Fund-Broad River</t>
  </si>
  <si>
    <t>Mitigation Trust Operating Fund-Savannah River</t>
  </si>
  <si>
    <t>Mitigation Trust Operating Fund-St Stephen's Fish Lift</t>
  </si>
  <si>
    <t>Mitigation Trust Operating Fund-Star Evviva</t>
  </si>
  <si>
    <t>Mitigation Trust Operating Fund- SHEP Sturgeon</t>
  </si>
  <si>
    <t>Mitigation Trust Operating Fund- 12 Mile Creek &amp; Hartwell</t>
  </si>
  <si>
    <t>45K80000</t>
  </si>
  <si>
    <t>Wildlife Endowment Fund-Income</t>
  </si>
  <si>
    <t>Wildlife Endowment Fund - Princip</t>
  </si>
  <si>
    <t>Fish &amp; Wildlife Protection Fund</t>
  </si>
  <si>
    <t>Heritage Trust Revenue Fund</t>
  </si>
  <si>
    <t>Jocassee Gorges Trust Fund</t>
  </si>
  <si>
    <t>48A50000</t>
  </si>
  <si>
    <t>Marine Resources Fund</t>
  </si>
  <si>
    <t>48A50006</t>
  </si>
  <si>
    <t>Marine Resources Fund-Indirect Cost Recovery</t>
  </si>
  <si>
    <t>48A50005</t>
  </si>
  <si>
    <t>Marine Resources Fund-Program Income</t>
  </si>
  <si>
    <t>48A50004</t>
  </si>
  <si>
    <t>Marine Resources Fund-Commercial Licenses</t>
  </si>
  <si>
    <t>48A50003</t>
  </si>
  <si>
    <t>Marine Resources Fund-Recreational Licenses</t>
  </si>
  <si>
    <t>48A50002</t>
  </si>
  <si>
    <t>Marine Resources Fund-Admin</t>
  </si>
  <si>
    <t>48A50001</t>
  </si>
  <si>
    <t>Marine Resources Fund-Law Enforcement</t>
  </si>
  <si>
    <t>Fish &amp; Wildlife Protection Fund-Law Enforcement</t>
  </si>
  <si>
    <t>Fish &amp; Wildlife Protection Fund-Admin</t>
  </si>
  <si>
    <t>Fish &amp; Wildlife Protection Fund-Duck</t>
  </si>
  <si>
    <t>Fish &amp; Wildlife Protection Fund-Deer</t>
  </si>
  <si>
    <t>Fish &amp; Wildlife Protection Fund-Timber</t>
  </si>
  <si>
    <t>Fish &amp; Wildlife Protection Fund-WMA Lands</t>
  </si>
  <si>
    <t>Fish &amp; Wildlife Protection Fund-Black Bear</t>
  </si>
  <si>
    <t>Fish &amp; Wildlife Protection Fund-Indirect Cost Recovery</t>
  </si>
  <si>
    <t>Fish &amp; Wildlife Protection Fund-Alligator</t>
  </si>
  <si>
    <t>Fish &amp; Wildlife Protection Fund-Grass Carp</t>
  </si>
  <si>
    <t>Fish &amp; Wildlife Protection Fund-Aquaculture</t>
  </si>
  <si>
    <t>Fish &amp; Wildlife Protection Fund-Wildlife Permits</t>
  </si>
  <si>
    <t>Fish &amp; Wildlife Protection Fund-Draw Hunts</t>
  </si>
  <si>
    <t>Fish &amp; Wildlife Protection Fund-Coyote</t>
  </si>
  <si>
    <t>Fish &amp; Wildlife Protection Fund-FW Hatcheries</t>
  </si>
  <si>
    <t>Fish &amp; Wildlife Protection Fund-Commercial Fur</t>
  </si>
  <si>
    <t>Fish &amp; Wildlife Protection Fund-Shooting Preserves</t>
  </si>
  <si>
    <t>Gasoline Tax Allocation(0.13)</t>
  </si>
  <si>
    <t>Strategy 1.2 - State Climate Office/Flood Mitigation activities provide reliable information for the protection of lives and property.</t>
  </si>
  <si>
    <t>Objective 1.2.1 - Monitor, conduct and report on studies of climate and weather events of environmental and economic importance to the State.</t>
  </si>
  <si>
    <t>Objective 1.2.2 - Administer the Federal Emergency Management Agency, Flood Mitigation Assistance, Cooperating Technical Partners, Community Assistance-State Support Services Element Programs.</t>
  </si>
  <si>
    <t>Strategy 1.3 - Aquatic Nuisance Species Control activities support healthy habitat for recreation, fish, wildlife and citizens.</t>
  </si>
  <si>
    <t>Objective 1.3.1 -  Reduce the footprint of invasive species to provide high quality habitat for hunting, fishing, and recreational activities by utilizing prevention, new and existing technologies, biocontrol, and selective herbicides to improve habitat, provide navigability, and keep water supply sources accessible.</t>
  </si>
  <si>
    <t>Strategy 1.4 - Heritage Trust Cultural Resources/Habitat Protection monitors and protects cultural and other resources throughout the state on Heritage Trust properties, and provides culturally related recreational/educational opportunities.</t>
  </si>
  <si>
    <t>Objective 1.5.1 - Provide increased technical assistance and administrative support to Conservation District Commissioners, District staff and partner agencies.</t>
  </si>
  <si>
    <t>Objective 1.6.1 - Manage the State Scenic Rivers Program, and provide related technical assistance and support to project partners and the public statewide.</t>
  </si>
  <si>
    <t>Goal 2 - 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t>
  </si>
  <si>
    <t>Objective 2.1.2 - Administer the state's Hunter and Boater Safety Certification Programs.</t>
  </si>
  <si>
    <t>Objective 2.2.2 - Continue as the primary first responder in statewide disaster response as related to search and rescue, inclement weather, flooding, and homeland security mission.</t>
  </si>
  <si>
    <t>Strategy 2.3 - Enforce the state's criminal codes through detection, apprehension, and prosecution.</t>
  </si>
  <si>
    <t>Objective 2.3.2 - Continue with providing advanced training opportunities to LE staff and officers to enhance their abilities in violation detection, case preparation, officer safety, and prosecution.</t>
  </si>
  <si>
    <t xml:space="preserve">Goal 3 - To sustain the State's  living marine resources for the cultural, recreational, commercial and economic benefit of the state's citizens and visitors. </t>
  </si>
  <si>
    <t>Strategy 3.1 - Conduct research on and monitor Marine Species.</t>
  </si>
  <si>
    <t>Objective 3.1.1 - Determine the biology, ecological relationships, threats and critical needs of living marine resources of SC.</t>
  </si>
  <si>
    <t>Objective 3.1.2 - Monitor population status and trends of living marine resources.</t>
  </si>
  <si>
    <t>Objective 3.1.3 - Examine the social and economic importance of marine resources to SC.</t>
  </si>
  <si>
    <t>Objective 3.1.4 - Quantify and monitor marine habitats and water quality.</t>
  </si>
  <si>
    <t>Strategy 3.2 - Manage the Harvest of Marine Resources.</t>
  </si>
  <si>
    <t>Objective 3.2.1 - Open and close fishing seasons, as specified by code and provide commercial licenses and permits as required.</t>
  </si>
  <si>
    <t>Strategy 3.3 - Enhance Marine Fisheries Stocks.</t>
  </si>
  <si>
    <t xml:space="preserve">Objective 3.3.1 - Stock Resource as needed to replenish resources. </t>
  </si>
  <si>
    <t xml:space="preserve">Objective 3.3.2 - Work to ensure artificial reefs continue to sustain marine species and fishing success. </t>
  </si>
  <si>
    <t xml:space="preserve">Strategy 3.4 - Engage the general public in protecting and sustaining marine resources through knowledge and personal actions.  </t>
  </si>
  <si>
    <t>Objective 3.4.1 - Work to ensure school children and teachers are informed about the marine environment.</t>
  </si>
  <si>
    <t xml:space="preserve">Objective 3.4.2 - Teach adults and community leaders about cooperative research, sustainable harvesting practices, habitat protection, and understanding marine management. </t>
  </si>
  <si>
    <t xml:space="preserve">Objective 3.4.4 Provide the general public with  access to  high quality recreational opportunities related to marine/coastal natural resources. </t>
  </si>
  <si>
    <t xml:space="preserve">Strategy 3.5 - Provide operational support for MRD research, monitoring, stewardship, and outreach efforts. </t>
  </si>
  <si>
    <t>Objective 3.5.1 Ensure the MRD programs safely and effectively carry our their mission.</t>
  </si>
  <si>
    <t>Strategy 4.1 - Conserve freshwater fish and wildlife species in SC.</t>
  </si>
  <si>
    <t>Objective 4.1.1 - Conduct research and monitoring activates of wildlife and freshwater fish.</t>
  </si>
  <si>
    <t>Objective 4.1.2 - Provide and enhance habitats for wildlife and freshwater fish.</t>
  </si>
  <si>
    <t>Objective 4.1.3 - Protect and manage at risk, threatened and endangered species.</t>
  </si>
  <si>
    <t>Objective 4.1.4 - Provide technical assistance and educational workshops to private landowners.</t>
  </si>
  <si>
    <t>Strategy 4.2 - Produce freshwater fish and stock in public waters.</t>
  </si>
  <si>
    <t>Objective 4.2.1 - Operate, restore and upgrade freshwater fish hatchery production facilities.</t>
  </si>
  <si>
    <t>Objective 4.2.2 - Produce adequate species and amounts to meet standard stocking needs.</t>
  </si>
  <si>
    <t>Strategy 4.3 - Administration of hunting and freshwater fishing opportunities.</t>
  </si>
  <si>
    <t>Objective 4.3.1 - Provide hunting opportunities to the public through the Wildlife Management Area Program.</t>
  </si>
  <si>
    <t>Objective 4.3.2 - Provide freshwater fishing opportunities on public water bodies and through the State Lakes Program.</t>
  </si>
  <si>
    <t>Strategy 5.1 -Issue all required documents to lawfully operate and show ownership of boats and motors in South Carolina and to legally hunt and fish in the state.</t>
  </si>
  <si>
    <t>Objective 5.1.1 -Issue titles and registration for new boats and motors; process transfers of boats and motors, duplicate titles, decals, registration cards, and lien satisfactions in the most accurate and timely manner.</t>
  </si>
  <si>
    <t>Objective 5.1.2  -Issue the  licenses, permits, tags that are required to hunt and/or fishing in South Carolina.</t>
  </si>
  <si>
    <t>Strategy 5.2 - Review the development, utilization and deployment of agency's internal resources  to deliver the best service possible in meeting the changing business needs of SCDNR, our customers and the citizens of the state.</t>
  </si>
  <si>
    <t>Objective 5.2.1 - Expand  and promote the use of technology, online and contracted call centers and regional locations to better educate customers and simplify customer service interaction for boating, hunting and fishing related inquiries and transactions; and use technology to improve and/or redesign internal and external processes to support all sections of the agency.</t>
  </si>
  <si>
    <t>Objective 5.2.2- Support the agency’s core mission by providing quality and efficient support for all agency sections and programs, including, but not limited to, legal services, human resources support, business and finance, audit management, and legislative support.</t>
  </si>
  <si>
    <t>Objective 5.3.1 - Participate in comprehensive reviews of Federal Energy Regulatory Commission Hydroelectric Project proposals on licensed projects.</t>
  </si>
  <si>
    <t>Objective 5.3.2 - Monitor and review public notices of permit applications submitted to state and federal agencies.</t>
  </si>
  <si>
    <t>Objective 5.3.3 - Review proposed wetland mitigation banks and participate on the Interagency Review Team providing input and guidance in the process of permitting mitigation banks.</t>
  </si>
  <si>
    <t>Objective 5.4.1 - Design and oversee major maintenance and renovation of existing, as well as construction of new boating access facilities, shooting facilities, and other agency infrastructure and assets statewide.</t>
  </si>
  <si>
    <t xml:space="preserve">Objective 5.5.1
Publish and distribute the South Carolina Wildlife magazine, serving as the voice of natural resources in the state. 
</t>
  </si>
  <si>
    <t>6000.050500.000</t>
  </si>
  <si>
    <t>6000.400101.000  6000.400102X000  6000.400500.000</t>
  </si>
  <si>
    <t xml:space="preserve">6000.220100.000  6000.220500.000  6000.221000.000  6000.221500.000   6000.222000.000  </t>
  </si>
  <si>
    <t>6000.600100.000  6000.600500.000</t>
  </si>
  <si>
    <t xml:space="preserve">0102.000000.000  6000.050100.000   6000.051000.000 </t>
  </si>
  <si>
    <t xml:space="preserve">6000.140500.000  </t>
  </si>
  <si>
    <t>0102.000000.000  6000.140100.000</t>
  </si>
  <si>
    <t>6001.120100.000  6000.120500.000</t>
  </si>
  <si>
    <t>6000.221000.000</t>
  </si>
  <si>
    <t>6000.601000.000</t>
  </si>
  <si>
    <t xml:space="preserve">6000.141000.000   6000.220100.000   6000.221500.000   6000.250100.000   6000.400101.000 </t>
  </si>
  <si>
    <t>0102.000000.000    6000.120500.000</t>
  </si>
  <si>
    <t>0102.000000.000  6000.050100.000   6000.050500.000   6000.051000.000   6000.220100.000   6000.220500.000   6000.221000.000   6000.221500.000  6000.222000.000  6000.250100.000  6000.251000.000</t>
  </si>
  <si>
    <t xml:space="preserve">6000.250100.000   6000.251000.000 </t>
  </si>
  <si>
    <t>6000.120500.000</t>
  </si>
  <si>
    <t>0102.000000.000   6000.051000.000</t>
  </si>
  <si>
    <t>6000.400101.000  6000.400500.000</t>
  </si>
  <si>
    <t>Public benefit will be more information on surface and groundwater available for decision makers, other agencies and the public.</t>
  </si>
  <si>
    <t>LWC-Hydrology Program</t>
  </si>
  <si>
    <t>Objective 1.1.2- Produce reliable geologic maps and information in support of economic development, environmental protection, and land-use planning.</t>
  </si>
  <si>
    <t xml:space="preserve">LWC-Geology Program </t>
  </si>
  <si>
    <t>Objective 1.1.3 - Expand digital capabilities and uses for the dissemination of information.</t>
  </si>
  <si>
    <t>DNE</t>
  </si>
  <si>
    <t>Public benefit is a better understanding of the impacts of significant weather events in the State.</t>
  </si>
  <si>
    <t xml:space="preserve">LWC-Climatology Program </t>
  </si>
  <si>
    <t>Public benefit is assisting communities to participate in the National Flood Insurance Program and protecting lives and property.</t>
  </si>
  <si>
    <t xml:space="preserve">LWC-Flood Mitigation Program </t>
  </si>
  <si>
    <t>Improvement of water quality for hunting, fishing, recreation and economic development. Healthier water bodies and prevention of aquatic nuisance species would also reduce the adverse effect on water supplies.  To provide a better understanding of the importance of water quality and the damage that invasive species can do to ecosystems</t>
  </si>
  <si>
    <t xml:space="preserve">LWC-Aquatic Nuisance Species Program </t>
  </si>
  <si>
    <t xml:space="preserve">Public benefit would be a better understanding of the cultural resources on Heritage Trust properties </t>
  </si>
  <si>
    <t xml:space="preserve">LWC-Cultural Resources Management Program </t>
  </si>
  <si>
    <t>Objective 1.4.2 - Update inventory of Rare, Threatened and Endangered Species in SC.</t>
  </si>
  <si>
    <t>Public benefit is an updated and better understanding of the existence and location of Rare, Threatened or Endangers Species throughout the state.</t>
  </si>
  <si>
    <t xml:space="preserve">LWC-Heritage Trust Program:  Endangered Species  </t>
  </si>
  <si>
    <t xml:space="preserve">Public benefit is an increase in the number of soil and water conservation projects in the State where wise use practices are encouraged for land management, and water conservation in agriculture.  </t>
  </si>
  <si>
    <t xml:space="preserve">LWC-Conservation Districts Program </t>
  </si>
  <si>
    <t>Public benefit would be to properly manage the State's Scenic Rivers to protect and enhance the precious natural resources of the State</t>
  </si>
  <si>
    <t xml:space="preserve">LWC-Scenic Rivers Program </t>
  </si>
  <si>
    <t>Outcome= Public perceives a safer hunting, fishing, and boating environment.</t>
  </si>
  <si>
    <t>Growth of Scholastic Clay Target Sports (SCTS) Program, SC Archery In Schools Program, Take One Make One (TOMO) Program, and Law Enforcement Regional Youth Fishing Rodeos.</t>
  </si>
  <si>
    <t>LE Education &amp; Outreach</t>
  </si>
  <si>
    <t>Y</t>
  </si>
  <si>
    <t>Outcome= Hunters and Boaters through education reduce the number of accidents, unethical, and illegal practices.</t>
  </si>
  <si>
    <t>The Department administers Hunter Education.  The Department must offer Boater Education</t>
  </si>
  <si>
    <t>Outcome= Reduction in violations related to illegally taking the states natural resources and other general criminal violations.</t>
  </si>
  <si>
    <t>Continue documenting natural resource, boating, and criminal violations..</t>
  </si>
  <si>
    <t>LE Regional Field Operations</t>
  </si>
  <si>
    <t>Outcome= An effective response to ensure that life and property are protected during these types of incidents.</t>
  </si>
  <si>
    <t>Maintain leadership role in search and rescue missions, and disaster response.  Continue internal efforts and partnerships with federal, state, and local partners conducting missions related to Homeland Security.</t>
  </si>
  <si>
    <t>LE Staff Operations Emergency Management &amp; Homeland Security</t>
  </si>
  <si>
    <t>Outcome= Citizens see a proactive role the department is playing in protection of the states natural resources, private property, and personal safety.</t>
  </si>
  <si>
    <t>Continue daily patrols checking hunters and fisherman being checked for compliance.</t>
  </si>
  <si>
    <t>Outcome= That citizens perceive a well trained and professional law enforcement force when interacting with the public.</t>
  </si>
  <si>
    <t>The Divisions Training Staff continuing to offer training to ensure a professional force of law enforcement officers.</t>
  </si>
  <si>
    <t>LE Staff Operations Training Division</t>
  </si>
  <si>
    <t>Outcome= The most effective and efficient Law Enforcement Program possible to serve the citizens of SC and it's visitors.</t>
  </si>
  <si>
    <t xml:space="preserve">Continue with SCDNR Radio Room effectively and efficiently handling calls for service.  Enforcement of inland fish and game laws is conducted in all 46 counties within SC.  Saltwater Recreational and Commercial Fishing Enforcement of over 3,000 miles of coastal waters to prevent illegal harvest of marine species.  </t>
  </si>
  <si>
    <t>Law Enforcement Operations</t>
  </si>
  <si>
    <t xml:space="preserve">Outcome =  To have a good understanding of the factors that influence marine resource populations so as to provide guidance on how to best  sustain those populations for the long- term benefit of the citizens of the state. </t>
  </si>
  <si>
    <t>Number of Research Grants Awarded to Marine Division;                   Number of Man Days Sampling Marine Fauna;                                    Number of samples for South Carolina Estuarine and Coastal Assessment Programs;             Number of Anglers in Public fish tagging program</t>
  </si>
  <si>
    <t>Marine Resources Division</t>
  </si>
  <si>
    <t>Mike Denson (responsible more than 3 years)</t>
  </si>
  <si>
    <t>Federal Government, State Government, Higher Education Institutes;  Non-Profit Entity; Individual</t>
  </si>
  <si>
    <t xml:space="preserve">Outcome =  To have good indicators of population abundance, health, and trends, so as to help guide the managers and legislature in setting fishing and harvesting rules and limits. </t>
  </si>
  <si>
    <t xml:space="preserve">Outcome =  To provide information to the legislature and fishery managers as to the public's desires, concerns and knowledge about marine resources. </t>
  </si>
  <si>
    <t>Mel Bell (responsible more than 3 years)</t>
  </si>
  <si>
    <t xml:space="preserve">Outcome =  Provides managers, scientists, the public, and the legislature with reports on the health of the marine environment and actions that are needed to sustain critical habitats that support marine resources. </t>
  </si>
  <si>
    <t>Number of Research Grants Awarded to Marine Division;                                        Number of Man Days Sampling Marine Fauna</t>
  </si>
  <si>
    <t xml:space="preserve">Outcome = To provide maximum fishery and economic yield for the state in a manner that will not jeopardize the long-term health of those resources. </t>
  </si>
  <si>
    <t xml:space="preserve">Number of Man Days Sampling Marine Fauna;                            Number of commercial permits issued </t>
  </si>
  <si>
    <t>Mel Bell (responsible for more than 3 years</t>
  </si>
  <si>
    <t>Outcome =  To track trends in fishery stocks so as to ensure that production is strong and harvesting is not exceeding safe levels.  Also, to provide Federally-mandated data.</t>
  </si>
  <si>
    <t>Mel Bell (responsible for more than 3 years)</t>
  </si>
  <si>
    <t xml:space="preserve">Outcome =  To assure that regionally managed stocks are properly managed and South Carolina has a voice in the management of those stocks. </t>
  </si>
  <si>
    <t xml:space="preserve">Robert Boyles (responsible for more than 3 years) </t>
  </si>
  <si>
    <t>State Governments, Federal Government, Private Individuals</t>
  </si>
  <si>
    <t>Outcome = Highly valued fishery stocks are maintained or enhanced for use by SC citizens and visitors to the state.</t>
  </si>
  <si>
    <t>Mike Denson (responsible for more than 3 years)</t>
  </si>
  <si>
    <t xml:space="preserve">State Government,  Private Individuals, Non-profit entity; </t>
  </si>
  <si>
    <t>Outcome =  SC reefs are properly maintained and enhanced for continued good fishing by SC citizens and visitors.</t>
  </si>
  <si>
    <t>Federal Government; Private Individuals, Non-profit entities;  Local Government</t>
  </si>
  <si>
    <t xml:space="preserve">Outcome : Natural oyster beds remain viable for continued recreational and commercial harvesting. </t>
  </si>
  <si>
    <t>Non-profit entities;  Private Business; private individuals</t>
  </si>
  <si>
    <t>Outcome = Students and teachers have access to curriculum-aligned education materials and programs that advance stewardship of South Carolina's marine resources while supporting the state's education system.</t>
  </si>
  <si>
    <t xml:space="preserve">Phil Maier (responsible for more than 3 years) </t>
  </si>
  <si>
    <t xml:space="preserve">K-12 Education Institute; Higher Education Institute; State Government; </t>
  </si>
  <si>
    <t xml:space="preserve">Outcome =  South Carolina's  citizens and decision-makers have access to the information and tools necessary to fully exercise their role as stewards of South Carolina's marine resources.  </t>
  </si>
  <si>
    <t>Number of Anglers in Public fish tagging program;</t>
  </si>
  <si>
    <t>Private Individuals</t>
  </si>
  <si>
    <t>Outcome = Citizens and visitors have the information they need to responsibly enjoy South Carolina's marine resources.</t>
  </si>
  <si>
    <t>Phil Maier (responsible for less than 3 years)</t>
  </si>
  <si>
    <t xml:space="preserve">Non-profit entities,  Private Businesses; </t>
  </si>
  <si>
    <t xml:space="preserve">Outcome =  Citizens utilize marine and coastal recreational opportunities </t>
  </si>
  <si>
    <t>Number of individuals permitted for primitive camping on Capers Island</t>
  </si>
  <si>
    <t>Phil Maier (responsible more than 3 years)</t>
  </si>
  <si>
    <t>Outcome =  MRD programs are fully supported to carry out their duties safely and effectively, and MRD staff operate within the administrative guidelines established by state and federal  government.</t>
  </si>
  <si>
    <t>Chantal Rice (responsible more than 3 years)</t>
  </si>
  <si>
    <t xml:space="preserve">State Government, Federal Government, Local Government; Higher Education Institute; Private Business; </t>
  </si>
  <si>
    <t>Information obtained will assist conservation entities and others with better knowledge of species and management.</t>
  </si>
  <si>
    <t>Wildlife and Freshwater Fisheries Division</t>
  </si>
  <si>
    <t>Emily Cope (responsible for more than 3 years)</t>
  </si>
  <si>
    <t xml:space="preserve">An increased amount of land area will provide better habitat and result in improved wildlife and fish populations.  </t>
  </si>
  <si>
    <t>Billy Dukes (responsible for more than 3 years) and Ross Self (responsible for more than 3 years)</t>
  </si>
  <si>
    <t xml:space="preserve">Activities for nongame species prevent populations from decreasing and enhance populations of threatened, endangered or at-risk species. </t>
  </si>
  <si>
    <t>Derrell Shipes (responsible for more than 3 years) and Ross Self (responsible for more than 3 years)</t>
  </si>
  <si>
    <t xml:space="preserve">Outreach efforts result in better habitat management and species management on private lands by providing landowners the informational tools they need. </t>
  </si>
  <si>
    <t xml:space="preserve">Hatcheries can more effectively and efficiently meet stocking needs. </t>
  </si>
  <si>
    <t>Operate and maintain facilities at a level to meet management demands.  Calculated by number of operational fish hatcheries.</t>
  </si>
  <si>
    <t>Ross Self (responsible for more than 3 years)</t>
  </si>
  <si>
    <t>Stocking requests from regional management staff are met to ensure public waters maintain proper numbers and diversity of species.</t>
  </si>
  <si>
    <t xml:space="preserve">Number of fish needed to meet demand or public water stocking.  Calculated by number of fish produced.  </t>
  </si>
  <si>
    <t xml:space="preserve">Quality public hunting areas will continue to be available across the state to ensure ample opportunity for constituents. </t>
  </si>
  <si>
    <t xml:space="preserve">Quality public fishing areas will continue to be available across the state to ensure ample opportunity for constituents. </t>
  </si>
  <si>
    <t xml:space="preserve">Availability of state lakes open to public fishing.  Calculated by number of state lakes open to the public.  </t>
  </si>
  <si>
    <t>Permits are issued in a timely manner to meet season dates and constituent needs.  Lottery hunts are conducted so the public has sufficient notice and view the process as fair and reasonable.</t>
  </si>
  <si>
    <t xml:space="preserve">Increased participation in hunting and fishing in the state, which should lead to stable or increased hunting and fishing license sales. </t>
  </si>
  <si>
    <t>Objective 1.4.1 - Survey, research, outreach, education, and management activities for Cultural Heritage Trust Preserves and Programs as well as meeting with the Heritage Trust Advisory Board for board action as required by statute.</t>
  </si>
  <si>
    <t>Objective 2.2.1 - Continue as the primary investigator of hunting and boating related accidents and fatalities.</t>
  </si>
  <si>
    <t>Objective 2.3.1 - Encourage a proactive approach to patrolling to enforce the state's hunting, fishing, environmental, boating, and general criminal laws.</t>
  </si>
  <si>
    <t xml:space="preserve">6000.050100.000 6000.051000.000  6000.140100.000 6000.220100.000  6000.220500.000  6000.221000.000  6000.221500.000   6000.222000.000  6000.250100.000  6000.250700.000  6000.251000.000  6000.400101.000   6000.400500.000  6000.600100.000  6000.600500.000 6000.601000.000 6001.120100.000   </t>
  </si>
  <si>
    <t>6000.250100.000 6000.251000.000</t>
  </si>
  <si>
    <t xml:space="preserve">6000.220100.000 </t>
  </si>
  <si>
    <t>0102.000000.000    6000.050100.000   6000.050500.000 6000.051000.000  6001.120100.000</t>
  </si>
  <si>
    <t>Heritage Trust</t>
  </si>
  <si>
    <t>6000.220100.000   6000.221500.000</t>
  </si>
  <si>
    <t>Fishing &amp; Hunting Licenses</t>
  </si>
  <si>
    <t>6000.120500.000 6000.220500.000</t>
  </si>
  <si>
    <t>6000.220100.000  6000.221000.000</t>
  </si>
  <si>
    <t>6000.221500.000  6000.222000.000</t>
  </si>
  <si>
    <t>6000.222000.000</t>
  </si>
  <si>
    <t>Fisheries-Hatchery Operations</t>
  </si>
  <si>
    <t>Conservation Enforcement</t>
  </si>
  <si>
    <t>6000.051000.000 6000.400101.000  6000.400500.000</t>
  </si>
  <si>
    <t>6000.120500.000 6000.400101.000  6000.400500.000</t>
  </si>
  <si>
    <t>Endangered Species</t>
  </si>
  <si>
    <t>Wildlife-Regional Operations</t>
  </si>
  <si>
    <t xml:space="preserve">9800.740000X000 9802.720000X000 9803.510000X000 9803.510000X000 9803.520000X000 9803.750000X000 9804.650000X000 9808.380000X000 9808.390000X000 9809.360000X000 9809.370000X000 9810.320000X000 9811.230000X000 9811.241000X000 9811.410000X000 9812.250000X000 9812.400000X000 9815.310000X000  </t>
  </si>
  <si>
    <t xml:space="preserve">9907-Cohen Campbell Hatchery;  9942-Waddell Ctr Renovation;       9960-Murphy Isl Dike;                   9962-Cedar Isl Dike;      9963-Samworth   Dike;                              9965-Spring Stevens Hatchery; 9967-Ft Johnson Boat Slip;          9968-Ft Johnson Roof Replacement        </t>
  </si>
  <si>
    <t>9942-Waddell Ctr Renovation;      9953-Chestnut Ridge Land Acq; 9950-Wateree Range Land Acq;         9946-Liberty Hill Land Acq;         9959-S Fenwick Isl Land Acq;         9966-Wateree Range Renovation</t>
  </si>
  <si>
    <t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t>
  </si>
  <si>
    <t>Permanent Improvement Projects are combined at a high fund level (ie. 36008000, and 36008010 report under 36008000; 39078000, 39078010 and 39078020 report under 39078000; 57878000, 57878010, 57878020 report under 57878000))</t>
  </si>
  <si>
    <t>a</t>
  </si>
  <si>
    <t>b</t>
  </si>
  <si>
    <t>0102.000000.000  6000.050100.000  6000.051000.000  6000.220100.000  6000.221000.000 6000.222000.000 6000.250100.000  6000.400101.000  6000.400500.000  6000.600100.000  6000.600500.000 6001.120100.000</t>
  </si>
  <si>
    <t>Agency Funds</t>
  </si>
  <si>
    <t>Non-recurring General Funds</t>
  </si>
  <si>
    <t>Shrimp Baiting and Saltwater Licenses</t>
  </si>
  <si>
    <t>Goal 5 - Continuously evaluate and improve administrative and business processes, efficiency, effectiveness and internal and external service delivery  with a focus on transparency, communication, accountability and the integration of new technologies.</t>
  </si>
  <si>
    <t>Mark Litz (responsible less than 3 years)</t>
  </si>
  <si>
    <t>State GIS  Coord, Graphics Services Collector Duck Stamp</t>
  </si>
  <si>
    <t xml:space="preserve">Species identified, sufficient funding obtained and field work conducted to report on required information.  Calculated by number of active research projects.  </t>
  </si>
  <si>
    <t xml:space="preserve">Maintain and provide public access to lands through the WMA Program for public hunting and compatible recreational use opportunities.  Calculated by number of acres available for use as WMA.  </t>
  </si>
  <si>
    <t xml:space="preserve">Provide wildlife harvest and associated hunting opportunities on public and private lands through permits, tags and public lottery hunts.   Calculated by number of permits, tags and participants.  </t>
  </si>
  <si>
    <t>Objective 4.3.4 - Provide recruitment and retention activities for hunting and freshwater fishing.</t>
  </si>
  <si>
    <t xml:space="preserve">Acres of habitat owned by  DNR promote species diversity and richness.  Calculated by number of  DNR-owned acres of managed habitat.    </t>
  </si>
  <si>
    <t xml:space="preserve">At-risk, threatened and endangered species protected, monitored and managed  following state and/or federal law. Calculated by number of species.   </t>
  </si>
  <si>
    <t xml:space="preserve">Billy Dukes (responsible for more than 3 years) </t>
  </si>
  <si>
    <t>4.00   FTE</t>
  </si>
  <si>
    <t>15.00  FTE</t>
  </si>
  <si>
    <t>16.00  FTE</t>
  </si>
  <si>
    <t>27.00  FTE</t>
  </si>
  <si>
    <t>11.00  FTE</t>
  </si>
  <si>
    <t>8.00  FTE</t>
  </si>
  <si>
    <t>26.00  FTE</t>
  </si>
  <si>
    <t>6000.250700.000   6000.600100.000</t>
  </si>
  <si>
    <t>1.25   FTE</t>
  </si>
  <si>
    <t>3.25    FTE</t>
  </si>
  <si>
    <t>8.3 0   FTE</t>
  </si>
  <si>
    <t>4.30   FTE</t>
  </si>
  <si>
    <t>4.3 0   FTE                      4.00    TG</t>
  </si>
  <si>
    <t>1.25    FTE</t>
  </si>
  <si>
    <t xml:space="preserve">5 .00    FTE             7.00    TG      </t>
  </si>
  <si>
    <t>2 .00    FTE</t>
  </si>
  <si>
    <t xml:space="preserve">5 .00    FTE             8.00    TG      </t>
  </si>
  <si>
    <t>3.00    FTE</t>
  </si>
  <si>
    <t>30.00  FTE</t>
  </si>
  <si>
    <t>0.60    FTE</t>
  </si>
  <si>
    <t>2.30    FTE           4.90   TG</t>
  </si>
  <si>
    <t>2.30    FTE               4.90   TG</t>
  </si>
  <si>
    <t>3.1 0   FTE             1.00    TG</t>
  </si>
  <si>
    <t>1.20    FTE          2.45   TG</t>
  </si>
  <si>
    <t>1.65    FTE        4.25  TG</t>
  </si>
  <si>
    <t>4.40   FTE                8.15    TG</t>
  </si>
  <si>
    <t>1.20    FTE               2.45   TG</t>
  </si>
  <si>
    <t>1.65    FTE                4.25  TG</t>
  </si>
  <si>
    <t xml:space="preserve">3.65 FTE             </t>
  </si>
  <si>
    <t xml:space="preserve">2.80  FTE                           </t>
  </si>
  <si>
    <t xml:space="preserve">8.95  FTE                              </t>
  </si>
  <si>
    <t>11.87  FTE                   1 .00   TG</t>
  </si>
  <si>
    <t xml:space="preserve">3.30  FTE                           </t>
  </si>
  <si>
    <t>12.37  FTE                      1.00     TG</t>
  </si>
  <si>
    <t>2.20   FTE          2.13   TG</t>
  </si>
  <si>
    <t>1.40  FTE                  0.63 TG</t>
  </si>
  <si>
    <t>5.20  FTE                    1.95   TG</t>
  </si>
  <si>
    <t>2.20   FTE                 2.13   TG</t>
  </si>
  <si>
    <t>Richard Byrd (responsible more than 3 years)</t>
  </si>
  <si>
    <t>Lorianne Riggin (responsible less than 3 years)</t>
  </si>
  <si>
    <t>Robert McCullough (responsible for less than 3 years)</t>
  </si>
  <si>
    <t xml:space="preserve">Alvin Taylor (responsible more than 3 years)                 </t>
  </si>
  <si>
    <t>35.49  FTE                                                                                      11.78   TG</t>
  </si>
  <si>
    <t>35.99  FTE                                                                                      12.78   TG</t>
  </si>
  <si>
    <t>57.77  FTE            7.49    TG</t>
  </si>
  <si>
    <t>57.77  FTE             8.49    TG</t>
  </si>
  <si>
    <t>7.22  FTE                                     5.83  TG</t>
  </si>
  <si>
    <t>7.22  FTE                                     5.16  TG</t>
  </si>
  <si>
    <t>18.99  FTE                                   2.40    TG</t>
  </si>
  <si>
    <t>18.99  FTE                                   5.17    TG</t>
  </si>
  <si>
    <t>27.39  FTE                   4.30     TG</t>
  </si>
  <si>
    <t>27.39  FTE                   4.40     TG</t>
  </si>
  <si>
    <t>3.65 FTE                 0.20   TG</t>
  </si>
  <si>
    <t>Derrick Meggie (responsible less than 3 years)</t>
  </si>
  <si>
    <t xml:space="preserve">Public participation in agency provided programs.  Calculated by number of events and participants.               </t>
  </si>
  <si>
    <t>Federal Awards, construction/land acquisition</t>
  </si>
  <si>
    <t>3 Year Hunting &amp; Fishing Licenses</t>
  </si>
  <si>
    <t>3 Year Saltwater Fishing Licenses</t>
  </si>
  <si>
    <t>Saltwater Recreational Fishing Licenses</t>
  </si>
  <si>
    <t>Commercial Saltwater licenses; Culture &amp; Mariculture Permit Fees</t>
  </si>
  <si>
    <t>Morgan Island Rent</t>
  </si>
  <si>
    <t>Indirect Cost Recovery</t>
  </si>
  <si>
    <t>Heritage Trust Fund-Document Stamp</t>
  </si>
  <si>
    <t>Document Stamp Tax portion</t>
  </si>
  <si>
    <t>Document Stamp Tax portion-Bond Repayment</t>
  </si>
  <si>
    <t>Lifetime License Fees</t>
  </si>
  <si>
    <t>Investment income for fund 46070000</t>
  </si>
  <si>
    <t>Vendor Fee for  hunting/fishing licenses</t>
  </si>
  <si>
    <t>Indirect Cost Recovery-PR/DJ Grants</t>
  </si>
  <si>
    <t>Investment Income 3 Year SW Licenses</t>
  </si>
  <si>
    <t>Vendor Fee for   saltwater fishing licenses</t>
  </si>
  <si>
    <t>Portion of Annual Freshwater Fishing license</t>
  </si>
  <si>
    <t>Hunting &amp; Fishing licenses</t>
  </si>
  <si>
    <t>Hydroelectric Relicensing Agreement Settlement-Duke</t>
  </si>
  <si>
    <t>Operating Contributions-Yawkey Foundation, Timber Sales</t>
  </si>
  <si>
    <t>Cash from Trust Fund 41257000</t>
  </si>
  <si>
    <t>Tax Check Off; License Plate</t>
  </si>
  <si>
    <t>Managed Lands  Timber Harvests</t>
  </si>
  <si>
    <t>Grass Carp Certification Fees</t>
  </si>
  <si>
    <t>Annual Freshwater Nonresident License portion</t>
  </si>
  <si>
    <t>Donations, Timber Harvest</t>
  </si>
  <si>
    <t>Fur Bearer Licenses and Permits</t>
  </si>
  <si>
    <t>Aquaculture Permit Fees</t>
  </si>
  <si>
    <t>Miscellaneous Wildlife Permit Fees</t>
  </si>
  <si>
    <t>Public Hunt Application Fees</t>
  </si>
  <si>
    <t>Restricted Deer Tag Fee - designated</t>
  </si>
  <si>
    <t>Shooting Preserve Application Fee</t>
  </si>
  <si>
    <t>Alligator Public Hunt, WMA Hunt and Tag Fees</t>
  </si>
  <si>
    <t>Black Bear Public Hunt and Tag Fees</t>
  </si>
  <si>
    <t>WMA Permit Fees</t>
  </si>
  <si>
    <t>Migratory Waterfowl Permit Fees</t>
  </si>
  <si>
    <t>Cash Transfer from 43950000</t>
  </si>
  <si>
    <t>Cash Transfer from 43950002</t>
  </si>
  <si>
    <t>Cash Transfer from 43950001</t>
  </si>
  <si>
    <t>Cash Transfer from 43950003</t>
  </si>
  <si>
    <t>Cash Transfer from 43950005</t>
  </si>
  <si>
    <t>Cash Transfer from 43950006</t>
  </si>
  <si>
    <t>Cash Transfer from 43950007</t>
  </si>
  <si>
    <t>Cash Transfer from 43950009</t>
  </si>
  <si>
    <t>Cash Transfer from 43957008</t>
  </si>
  <si>
    <t xml:space="preserve">Y </t>
  </si>
  <si>
    <t>Executive</t>
  </si>
  <si>
    <t>3.80   FTE</t>
  </si>
  <si>
    <t>1.13   FTE</t>
  </si>
  <si>
    <t>0.97   FTE</t>
  </si>
  <si>
    <t>3.44   FTE</t>
  </si>
  <si>
    <t>1.48   FTE</t>
  </si>
  <si>
    <t>0.98   FTE</t>
  </si>
  <si>
    <t xml:space="preserve">Non-profit entity </t>
  </si>
  <si>
    <t>Federal Government, state government, private business, non-profit entity, media, other</t>
  </si>
  <si>
    <t>8.55     FTE           17.70   TG</t>
  </si>
  <si>
    <t>13.00   FTE          18.70  TG</t>
  </si>
  <si>
    <t>13.00   FTE                    18.70  TG</t>
  </si>
  <si>
    <t>Federal Government; State Government</t>
  </si>
  <si>
    <t>Federal Government; State Government; Private Individuals</t>
  </si>
  <si>
    <t>6.25  FTE</t>
  </si>
  <si>
    <t>9.15   FTE             8.00   TG</t>
  </si>
  <si>
    <t>9.15   FTE                   8.00   TG</t>
  </si>
  <si>
    <t>3.1 0   FTE                    1.00    TG</t>
  </si>
  <si>
    <t xml:space="preserve">Federal Government; State Government; Private Individuals; </t>
  </si>
  <si>
    <t>5.00  FTE               0.13  TG</t>
  </si>
  <si>
    <t>5.00  FTE                  0.13  TG</t>
  </si>
  <si>
    <t>34.00   FTE</t>
  </si>
  <si>
    <t>Office of Support Services</t>
  </si>
  <si>
    <t>Executive, Office of Support Services</t>
  </si>
  <si>
    <t>Science-based information is provided to utilities and regulators for consideration in relicensing negotiations</t>
  </si>
  <si>
    <t>Science-based information is provided  to regulators to enable economic development while conserving natural resources</t>
  </si>
  <si>
    <t>Science- based information is provided to regulators during development of wetland mitigation banking instruments resulting in protection of natural resources while enabling development</t>
  </si>
  <si>
    <t>Number of FERC proposal reviews</t>
  </si>
  <si>
    <t>Number of state and federal environmental reviews (including site visits, permit applications and other state/federal environmental documents)</t>
  </si>
  <si>
    <t>Number of mitigation bank applications reviewed (including site visits)</t>
  </si>
  <si>
    <t>Improve existing  and provide new access to waterways for safe enjoyment of water-based activities by the public</t>
  </si>
  <si>
    <t xml:space="preserve">Number of  public boating access facilities renovated, initiated or completed </t>
  </si>
  <si>
    <t xml:space="preserve">Percentage of scheduled vessel days that are accomplished. </t>
  </si>
  <si>
    <t>Federal Government; State Government;Local Government; Private Business; Non-Profit Entity; Individual</t>
  </si>
  <si>
    <t>Federal Government; State Government; Private Business;  Individual</t>
  </si>
  <si>
    <t>State Government;Local Government; Private Business; Non-Profit Entity; Individual</t>
  </si>
  <si>
    <t>Federal Government; State Government;Local Government; Higher Education Institute; K-12 Education Institute; Private Business; Non-Profit Entity; Individual;</t>
  </si>
  <si>
    <t xml:space="preserve">11.00    FTE    3.00    TG   </t>
  </si>
  <si>
    <t>240.00   FTE</t>
  </si>
  <si>
    <t xml:space="preserve">13.00  FTE              3.00    TG       </t>
  </si>
  <si>
    <t>235.00   FTE</t>
  </si>
  <si>
    <t>c</t>
  </si>
  <si>
    <t>The Department does not budget FTEs at the Goal/Strategy/Objective level. The units provided are reasonable estimates.</t>
  </si>
  <si>
    <t>d</t>
  </si>
  <si>
    <t>Objective 1.5.1 Fund 10010000 Recurring includes an annual $690,000 Aid to Conservation District allocation.</t>
  </si>
  <si>
    <t>The public benefit from these projects are a better understanding of our state's geology, including identification of earthquake hazard zones and land use planning.</t>
  </si>
  <si>
    <t>5.85   FTE                     1 .00   TG</t>
  </si>
  <si>
    <t>3.05   FTE</t>
  </si>
  <si>
    <t>1.55    FTE                          3.00   TG</t>
  </si>
  <si>
    <t>8.30   FTE</t>
  </si>
  <si>
    <t>4.30   FTE                       4 .00  TG</t>
  </si>
  <si>
    <t xml:space="preserve">See Performance Measures for Land, Water and Conservation-Hydrology </t>
  </si>
  <si>
    <t>Federal Government; State Government; Higher Education Institute, Private; Other</t>
  </si>
  <si>
    <t xml:space="preserve">See Performance Measures for Land, Water and Conservation-Geology </t>
  </si>
  <si>
    <t>Federal Government, State Government, Higher Education Institutes; Other</t>
  </si>
  <si>
    <t>See Performance Measures for Land, Water and Conservation-GIS</t>
  </si>
  <si>
    <t xml:space="preserve">LWC-GIS Program </t>
  </si>
  <si>
    <t>See Performance Measures for Land, Water and Conservation-Climatology</t>
  </si>
  <si>
    <t>Federal Government; State Government; Local Government; Higher Education Institutes; Private; Other</t>
  </si>
  <si>
    <t xml:space="preserve">See Performance Measures for Land, Water and Conservation-Flood Mitigation </t>
  </si>
  <si>
    <t>Federal Government; State Government; Local Government; Other</t>
  </si>
  <si>
    <t>See Performance Measures for Land, Water and Conservation-Aquatic Nuisance Species</t>
  </si>
  <si>
    <t>Federal Government; State Government; Local Government; Higher Education Institutes; Private, Other</t>
  </si>
  <si>
    <t>See Performance Measures for Land, Water and Conservation-Cultural Resources Management</t>
  </si>
  <si>
    <t>State Government, Local Government, Higher Education Institutes, Other</t>
  </si>
  <si>
    <t>See Performance Measures for Land, Water and Conservation-Endangered Species</t>
  </si>
  <si>
    <t>State Government; Local Government; Higher Education Institute; Private, Other</t>
  </si>
  <si>
    <t xml:space="preserve">See Performance Measures for Land, Water and Conservation-Conservation Districts </t>
  </si>
  <si>
    <t>See Performance Measures for Land, Water and Conservation-Scenic Rivers</t>
  </si>
  <si>
    <t>State Government; Other</t>
  </si>
  <si>
    <t>Colonel Frampton  (responsible more than 3 years)</t>
  </si>
  <si>
    <t>Major Carey (responsible more than 3 years)</t>
  </si>
  <si>
    <t>Major Landrum (responsible more than 3 years)                                   Major Sullivan (responsible less than 3 years)</t>
  </si>
  <si>
    <t>Captain Swink (responsible less than 3 years)</t>
  </si>
  <si>
    <t>Captain Downer (responsible more than 3 years)</t>
  </si>
  <si>
    <t>State Government, Federal Government, Higher Education Institute;</t>
  </si>
  <si>
    <t>Federal Government; State Government; Private Business</t>
  </si>
  <si>
    <t>Federal Government; State Government; Private Business;</t>
  </si>
  <si>
    <t>Federal Government; State Government;Local Government; Private Business;  Individual</t>
  </si>
  <si>
    <t xml:space="preserve">K-12 Education Institute;  State Government; </t>
  </si>
  <si>
    <t>Federal Government; State Government; Private Business; Non-Profit Entity;</t>
  </si>
  <si>
    <t>Federal Government; State Government; Local Government; Private Business; Non-Profit Entity; Individuals</t>
  </si>
  <si>
    <t>Ken Rentiers, LWC-Deputy Director (responsible more than 3 years)</t>
  </si>
  <si>
    <t>Ken Rentiers, LWC-Deputy Director (responsible more than 3 years) and Marc Cribb, Conservation Districts Program Manager (responsible more than 3 years)</t>
  </si>
  <si>
    <t>Ken Rentiers, LWC-Deputy Director (responsible more than 3 years); Sean Taylor, SCDNR &amp; Heritage Trust Archaeologist (responsible more than 3 years)</t>
  </si>
  <si>
    <t>Ken Rentiers, LWC-Deputy Director (responsible more than 3 years); Hope Mizzell, State Climatologist (responsible more than 3 years)</t>
  </si>
  <si>
    <t xml:space="preserve">6000.220100.000   6000.221500.000 </t>
  </si>
  <si>
    <t>e</t>
  </si>
  <si>
    <t>Fund 32850004 represents the 46 county portions of the Water Recreation Resource Fund</t>
  </si>
  <si>
    <t>5.85   FTE                       1 .00   TG</t>
  </si>
  <si>
    <t xml:space="preserve">15.00    FTE             2.00    TG   </t>
  </si>
  <si>
    <t xml:space="preserve">12 .00  FTE       3.00    TG   </t>
  </si>
  <si>
    <t>4.40   FTE         8.15    TG</t>
  </si>
  <si>
    <t>1.40  FTE          0.63 TG</t>
  </si>
  <si>
    <t>5.20  FTE           1.95   TG</t>
  </si>
  <si>
    <t>Number of coastal vendors who receive MRD resource related literature;  Number of Print, Digital, and Broadcast Media Stories that Reference Division Programs.</t>
  </si>
  <si>
    <t>a, b</t>
  </si>
  <si>
    <t>f</t>
  </si>
  <si>
    <t xml:space="preserve">f </t>
  </si>
  <si>
    <t>g</t>
  </si>
  <si>
    <t>h</t>
  </si>
  <si>
    <t xml:space="preserve">Fund 46050000 represents the 46 county Game &amp; Fish Fund accounts. </t>
  </si>
  <si>
    <t>i</t>
  </si>
  <si>
    <t>Trust Funds</t>
  </si>
  <si>
    <t>j</t>
  </si>
  <si>
    <t>Bond called December 2016, fund closed</t>
  </si>
  <si>
    <t>k</t>
  </si>
  <si>
    <t>Documentary Stamp Tax revenue resumed postings once HT Bond was called in December 2016</t>
  </si>
  <si>
    <t>i&amp; j</t>
  </si>
  <si>
    <t>i&amp;k</t>
  </si>
  <si>
    <t>12.37  FTE                      1.00   TG</t>
  </si>
  <si>
    <t>Flood Training Registrations, weather certifications, printed products</t>
  </si>
  <si>
    <t>Map data, Core Sample logs, mineral rock kits and GIS publications</t>
  </si>
  <si>
    <t>Operation Game Thief/Property Watch, Court Fees, Litter Fines</t>
  </si>
  <si>
    <t>CCEHBR Bldg Rent,  Research contracts, Vessel and Motor Pool accts,  Saltwater Pier Tax, Fishing License plate</t>
  </si>
  <si>
    <t>Santee Accord Project, US Army COELake Russell Trout, Donations/Contributions</t>
  </si>
  <si>
    <t>Reimbursements for aquatic weed mgmt</t>
  </si>
  <si>
    <t>Bannister Tract Timber, Cooks Mountain, Carolina Heelsplitter</t>
  </si>
  <si>
    <t>(long term  project, cash carryforward)</t>
  </si>
  <si>
    <t xml:space="preserve">Savannah Harbor Expansion Settlement </t>
  </si>
  <si>
    <t xml:space="preserve">Santee Accord Agreement, USACOE Lake Russell Trout Stocking, Greenwood Utility Ware Shoals Fish Stocking, Santee Cooper Sturgeon Research </t>
  </si>
  <si>
    <t>State-Pittman Robinson grant match</t>
  </si>
  <si>
    <t>Projects consistent with agreement-Duke Keowee Toxaway</t>
  </si>
  <si>
    <t>Statute - non game projects only</t>
  </si>
  <si>
    <t>Consent decree resulting from legal actions.</t>
  </si>
  <si>
    <t>State Statute-migratory waterfowl projects</t>
  </si>
  <si>
    <t>State Statute-deer projects</t>
  </si>
  <si>
    <t>State Statute-pay landowner lease payments and manage WMA properties</t>
  </si>
  <si>
    <t>State Statute-monitor and manage black bear populations</t>
  </si>
  <si>
    <t>State Statute-monitor and manage alligator populations</t>
  </si>
  <si>
    <t>State Statute-to manage grass carp certification program</t>
  </si>
  <si>
    <t xml:space="preserve">State Statute-manage issuing permits </t>
  </si>
  <si>
    <t xml:space="preserve">State Statute-administer public hunt program </t>
  </si>
  <si>
    <t xml:space="preserve">State Statute-administer coyote program </t>
  </si>
  <si>
    <t>State Statute-freshwater hatchery operations</t>
  </si>
  <si>
    <t xml:space="preserve">State Statute-administerfur bearer program </t>
  </si>
  <si>
    <t xml:space="preserve">State Statute-administerfur shooting preserve program </t>
  </si>
  <si>
    <t>Duke Energy - annual</t>
  </si>
  <si>
    <t>SCANA - annual</t>
  </si>
  <si>
    <t>Greenwood County Utility-annual</t>
  </si>
  <si>
    <t>State Statute - remit to SC DOR</t>
  </si>
  <si>
    <t>State Statute - purposes of fund</t>
  </si>
  <si>
    <t>Federal - restricted to awards for funded projects</t>
  </si>
  <si>
    <t xml:space="preserve">State - restricted to </t>
  </si>
  <si>
    <t>Gasoline Tax Allocation</t>
  </si>
  <si>
    <t xml:space="preserve">43.45 FTE               </t>
  </si>
  <si>
    <t>43.45  FTE</t>
  </si>
  <si>
    <t>11.75  FTE</t>
  </si>
  <si>
    <t>28.00  FTE</t>
  </si>
  <si>
    <t>13.00  FTE</t>
  </si>
  <si>
    <t>Represents 178 active grants for the fiscal year, grants are on a reimbursement basis</t>
  </si>
  <si>
    <t>Heritage Trust Bond Payment</t>
  </si>
  <si>
    <t xml:space="preserve">Objective 3.2.3 - Work collaboratively with the regional  Fishery Mgt. Councils and Atl. States Mar. Fish. Commission to manage migratory marine species. </t>
  </si>
  <si>
    <t xml:space="preserve">Education of public to enhance awareness and conservation of natural resources.  Calculated by number of constituents who attended workshops/presentations and number of contacts made with public for technical guidance.  </t>
  </si>
  <si>
    <t>Insuring parties legal ownership interest through proper documentation  of boats and motors, while supporting both the safety of the state's waterways and administrative support of the agency.</t>
  </si>
  <si>
    <t xml:space="preserve">Continually advancing the use of technology in order to make information, communications and  service delivery more convenient and efficient . </t>
  </si>
  <si>
    <t>Fully develop, implement and deploy technology tools/solutions as necessary to support the agencies program</t>
  </si>
  <si>
    <t>Provide information about topics of interest to those that enjoy the natural resources of our state.</t>
  </si>
  <si>
    <t>Regulations Book                                               Continual, accurate information released via press release, media interactions, social media and website    Design and publication of informational, educational and promotional materials in various mediums</t>
  </si>
  <si>
    <t>Six issues of SCW per year                             online digital magazine SCW</t>
  </si>
  <si>
    <t>The public benefit is the public can have more detailed information about natural resources in a digital format.</t>
  </si>
  <si>
    <t>Objective 4.3.3 - Provide wildlife harvest and associated hunting opportunities on public and private lands through permits, tags and public lottery hunts.</t>
  </si>
  <si>
    <t xml:space="preserve">Reducing the number of incomplete applications returned to customers by mail.  </t>
  </si>
  <si>
    <t>Reducing the number of incomplete boating applications returned to customers by mail.</t>
  </si>
  <si>
    <t>Supports the agency's mission of managing and protecting the state's natural resources, while also insuring that the state's sporting public receives their fair share of  Federal excise taxes that have already been imposed on them through their purchases of sporting goods.</t>
  </si>
  <si>
    <t xml:space="preserve">Objective 5.5.2
Accurately disseminate information on hunting, fishing and boating regulations and new laws as they pertain to the natural resources of South Carolina; inform citizens on the opportunities that are available in the states outdoors, communicate information during natural disasters and emergences to the citizens of South Carolina. 
</t>
  </si>
  <si>
    <t>Ensure that hunters and anglers are aware of changes in seasons, regulations, license requirements, deadline, and SCDNR events.    Provide education and information on outdoor recreation to include access, regulation, opportunity and how-to information.</t>
  </si>
  <si>
    <t>**Note- The Department does not budget or allocate FTEs at the Goal/Strategy/Objective level. The amounts provided are reasonable estimates.</t>
  </si>
  <si>
    <t>**Note- The Department does not budget at the Goal/Strategy/Objective level. The amounts provided are reasonable estimates.</t>
  </si>
  <si>
    <t>Antlerless Deer Tags</t>
  </si>
  <si>
    <t>Revenue passed to USGS for surface water, ground water, water quality station</t>
  </si>
  <si>
    <t>Individual and Deer Quality Program Tag Fees</t>
  </si>
  <si>
    <t>Other Operating-SC Wildlife Magazine</t>
  </si>
  <si>
    <t>Scenic Rivers Trust Fund</t>
  </si>
  <si>
    <t>Mitigation Trust Fund</t>
  </si>
  <si>
    <t>Mitigation Trust Fund-Broad River</t>
  </si>
  <si>
    <t>Mitigation Trust Fund-Reedy River</t>
  </si>
  <si>
    <t>Mitigation Trust Fund-Savannah River</t>
  </si>
  <si>
    <t>Mitigation Trust Fund-Buzzards Roost</t>
  </si>
  <si>
    <t>Mitigation Trust Fund-St Stephen's Fish Lift</t>
  </si>
  <si>
    <t>Mitigation Trust Fund-Star Evviva</t>
  </si>
  <si>
    <t>Mitigation Trust Fund-US Army Corps of Engineers</t>
  </si>
  <si>
    <t>Mitigation Trust Fund-12 Mile Creek &amp; Hartwell</t>
  </si>
  <si>
    <t>Mitigation Trust Fund-SHEP Sturgeon</t>
  </si>
  <si>
    <t>Mitigation Trust Operating Fund-Reedy River</t>
  </si>
  <si>
    <t>Mitigation Trust Operating Fund-US Army Corps of Engineers</t>
  </si>
  <si>
    <r>
      <t>2016-17 Appropriations &amp; Authorizations to agency (</t>
    </r>
    <r>
      <rPr>
        <u/>
        <sz val="10"/>
        <rFont val="Calibri Light"/>
        <family val="2"/>
        <scheme val="major"/>
      </rPr>
      <t>start</t>
    </r>
    <r>
      <rPr>
        <sz val="10"/>
        <rFont val="Calibri Light"/>
        <family val="2"/>
        <scheme val="major"/>
      </rPr>
      <t xml:space="preserve"> of year)</t>
    </r>
  </si>
  <si>
    <r>
      <t>2016-17 Appropriations &amp; Authorizations to agency (</t>
    </r>
    <r>
      <rPr>
        <u/>
        <sz val="10"/>
        <color theme="1"/>
        <rFont val="Calibri Light"/>
        <family val="2"/>
        <scheme val="major"/>
      </rPr>
      <t>during</t>
    </r>
    <r>
      <rPr>
        <sz val="10"/>
        <color theme="1"/>
        <rFont val="Calibri Light"/>
        <family val="2"/>
        <scheme val="major"/>
      </rPr>
      <t xml:space="preserve"> the year)</t>
    </r>
  </si>
  <si>
    <t>State Statute &amp; Federal CFR-expended for habitat management  on DNR property</t>
  </si>
  <si>
    <t xml:space="preserve">State Statute-monitor aquaculture projects </t>
  </si>
  <si>
    <r>
      <t>2017-18 Appropriations &amp; Authorizations to agency (</t>
    </r>
    <r>
      <rPr>
        <u/>
        <sz val="10"/>
        <rFont val="Calibri Light"/>
        <family val="2"/>
        <scheme val="major"/>
      </rPr>
      <t>start</t>
    </r>
    <r>
      <rPr>
        <sz val="10"/>
        <rFont val="Calibri Light"/>
        <family val="2"/>
        <scheme val="major"/>
      </rPr>
      <t xml:space="preserve"> of year)</t>
    </r>
  </si>
  <si>
    <r>
      <t>2017-18 Appropriations &amp; Authorizations to agency (</t>
    </r>
    <r>
      <rPr>
        <u/>
        <sz val="10"/>
        <color theme="1"/>
        <rFont val="Calibri Light"/>
        <family val="2"/>
        <scheme val="major"/>
      </rPr>
      <t>during</t>
    </r>
    <r>
      <rPr>
        <sz val="10"/>
        <color theme="1"/>
        <rFont val="Calibri Light"/>
        <family val="2"/>
        <scheme val="major"/>
      </rPr>
      <t xml:space="preserve"> the year) (BUDGETED)</t>
    </r>
  </si>
  <si>
    <t>Represents year 2 and 3 of 3 year hunting and fishing licenses/permits</t>
  </si>
  <si>
    <t>References (See Additional Notes/Explanation at the end of the chart)</t>
  </si>
  <si>
    <t>If revenue source is multi-year grant, # of years, including this yr, remaining</t>
  </si>
  <si>
    <t>External restrictions (from state/federal govt, grant issuer, etc.), if any, on how the agency can use the revenue</t>
  </si>
  <si>
    <t>Revenue Sources (any funds coming into the agency)</t>
  </si>
  <si>
    <r>
      <rPr>
        <b/>
        <u/>
        <sz val="11"/>
        <color theme="1"/>
        <rFont val="Calibri Light"/>
        <family val="2"/>
        <scheme val="major"/>
      </rPr>
      <t>Mission</t>
    </r>
    <r>
      <rPr>
        <sz val="11"/>
        <color theme="1"/>
        <rFont val="Calibri Light"/>
        <family val="2"/>
        <scheme val="major"/>
      </rPr>
      <t xml:space="preserve">: SCDNR's mission is to serve as the principal advocate for and steward of South Carolina's natural resources.
</t>
    </r>
    <r>
      <rPr>
        <u/>
        <sz val="11"/>
        <color theme="1"/>
        <rFont val="Calibri Light"/>
        <family val="2"/>
        <scheme val="major"/>
      </rPr>
      <t>Legal Basis</t>
    </r>
    <r>
      <rPr>
        <sz val="11"/>
        <color theme="1"/>
        <rFont val="Calibri Light"/>
        <family val="2"/>
        <scheme val="major"/>
      </rPr>
      <t>: S.C. Code Ann. 48-4-10</t>
    </r>
  </si>
  <si>
    <r>
      <rPr>
        <b/>
        <u/>
        <sz val="11"/>
        <color theme="1"/>
        <rFont val="Calibri Light"/>
        <family val="2"/>
        <scheme val="major"/>
      </rPr>
      <t>Vision</t>
    </r>
    <r>
      <rPr>
        <sz val="11"/>
        <color theme="1"/>
        <rFont val="Calibri Light"/>
        <family val="2"/>
        <scheme val="major"/>
      </rPr>
      <t xml:space="preserve">:  SCDNR's vision is to be a trusted and respected leader in natural resources protection and management, by consistently making wise and balanced decisions for the benefit of the state's natural resources and its people.  
</t>
    </r>
    <r>
      <rPr>
        <u/>
        <sz val="11"/>
        <color theme="1"/>
        <rFont val="Calibri Light"/>
        <family val="2"/>
        <scheme val="major"/>
      </rPr>
      <t>Legal Basis</t>
    </r>
    <r>
      <rPr>
        <sz val="11"/>
        <color theme="1"/>
        <rFont val="Calibri Light"/>
        <family val="2"/>
        <scheme val="major"/>
      </rPr>
      <t>: S.C. Code Ann. 48-4-10</t>
    </r>
  </si>
  <si>
    <t xml:space="preserve">Objective 1.1.1: Conduct or arrange for studies, inquires, surveys, or analysis; prepare reports; review actions; and appoint advisory boards as may be relevant in implementation of water policy.
</t>
  </si>
  <si>
    <r>
      <rPr>
        <b/>
        <sz val="11"/>
        <rFont val="Calibri Light"/>
        <family val="2"/>
        <scheme val="major"/>
      </rPr>
      <t>Strategy 5.5 - Serve as the principle source of marketing and information for the natural resources of South Carolina, giving accurate and timely facts on license, seasons, and regulations along with outdoor recreation as it pertains to the state resources.</t>
    </r>
    <r>
      <rPr>
        <sz val="11"/>
        <rFont val="Calibri Light"/>
        <family val="2"/>
        <scheme val="major"/>
      </rPr>
      <t xml:space="preserve">
</t>
    </r>
  </si>
  <si>
    <t>Strategy 5.4 - Provide professional engineering services to external and internal customers to insure safe and high quality access for fishing, boating, shooting and other natural resource related activities, and to maintain agency infrastructure and assets.</t>
  </si>
  <si>
    <t>Strategy 5.3 - Review and comment on proposed environmental impacts as published in the regulatory arena to provide reliable, science-based information to decision makers and the public.</t>
  </si>
  <si>
    <t>Strategy 1.6 - Conservation of SC's river heritage and protection of the unique or outstanding scenic, recreational, geologic, botanical, fish, wildlife, historic and cultural values of selected rivers and river segments of the state.</t>
  </si>
  <si>
    <t>I.</t>
  </si>
  <si>
    <t>II.A.2.</t>
  </si>
  <si>
    <t>II.D.1.</t>
  </si>
  <si>
    <t>II.D.3.</t>
  </si>
  <si>
    <t>II.D.5.</t>
  </si>
  <si>
    <t>II.E.1.</t>
  </si>
  <si>
    <t xml:space="preserve">II.E.1. </t>
  </si>
  <si>
    <t>II.G.1.</t>
  </si>
  <si>
    <t>II.C.3.</t>
  </si>
  <si>
    <t>II.D.2.</t>
  </si>
  <si>
    <t xml:space="preserve">II.D.1.; II.D.2.; II.D.3.; II.D.4.; II.D.5.   </t>
  </si>
  <si>
    <t>II.D.4.</t>
  </si>
  <si>
    <t>II.D.1.; II.D.4.</t>
  </si>
  <si>
    <t>II.D.4.;  II.D.5.</t>
  </si>
  <si>
    <t>II.B.1.</t>
  </si>
  <si>
    <t>I.; II.B.2.</t>
  </si>
  <si>
    <t>II.B.2.</t>
  </si>
  <si>
    <t>II.B.2.; II.D.2.</t>
  </si>
  <si>
    <t>I.; II.A.1.; II.A.3.</t>
  </si>
  <si>
    <t>II.A.3.</t>
  </si>
  <si>
    <t>I.; II.A.3.</t>
  </si>
  <si>
    <t xml:space="preserve">I.;  II.A.1.; II.A.2.; II.A.3.; II.B.2.; II.D.1.; II.D.2.; II.E.1.; II.E.3.   </t>
  </si>
  <si>
    <t>II.E.1.;   II.E.3.</t>
  </si>
  <si>
    <t>II.E.1.; II.E.3.</t>
  </si>
  <si>
    <t>II.C.3.;  II.D.1.; II.D.4.; II.E.1.;  II.F.1.</t>
  </si>
  <si>
    <t>II.B.1</t>
  </si>
  <si>
    <t>I.; II.A.1.; II.A.2.; II.A.3.; II.B.1.</t>
  </si>
  <si>
    <t>II.C.2.</t>
  </si>
  <si>
    <t xml:space="preserve"> II.F.1.;  II.F.2.</t>
  </si>
  <si>
    <t>II.A.3.;   II.F.1.;  II.F.2.</t>
  </si>
  <si>
    <t>II.B.2.;   II.F.1.;  II.F.2.</t>
  </si>
  <si>
    <t>II.G.3.</t>
  </si>
  <si>
    <t>II.D.1.   II.D.4.</t>
  </si>
  <si>
    <t>II.D.1.; II.D.3.</t>
  </si>
  <si>
    <t>II.G.1.; II. G.2.</t>
  </si>
  <si>
    <t>II.</t>
  </si>
  <si>
    <t>II.A.</t>
  </si>
  <si>
    <t>II.A.1.</t>
  </si>
  <si>
    <t>II.B.</t>
  </si>
  <si>
    <t>II.C.</t>
  </si>
  <si>
    <t>II.C.1.</t>
  </si>
  <si>
    <t>II.D.</t>
  </si>
  <si>
    <t>II.E.</t>
  </si>
  <si>
    <t>II.E.2.</t>
  </si>
  <si>
    <t>II.E.3.</t>
  </si>
  <si>
    <t>II.F.</t>
  </si>
  <si>
    <t>II.F.1.</t>
  </si>
  <si>
    <t>II.F.2.</t>
  </si>
  <si>
    <t>II.G.</t>
  </si>
  <si>
    <t>II.G.2.</t>
  </si>
  <si>
    <t>III.</t>
  </si>
  <si>
    <t>Provisos - Names of Revenue Section of Provisos</t>
  </si>
  <si>
    <t>Atlantic States Marine Fisheries Commission</t>
  </si>
  <si>
    <t xml:space="preserve">9907-Cohen Campbell Hatchery;  </t>
  </si>
  <si>
    <t xml:space="preserve">9942-Waddell Ctr Renovation;      </t>
  </si>
  <si>
    <t xml:space="preserve">9945-Sassafras Mtn Observ Platform;    </t>
  </si>
  <si>
    <t xml:space="preserve">9946-Liberty Hill Land Acq;         </t>
  </si>
  <si>
    <t xml:space="preserve">9947-Jocassee Gorges Land Acq;       </t>
  </si>
  <si>
    <t xml:space="preserve">9948-Cliff Pitts WMA Land Acq;         </t>
  </si>
  <si>
    <t xml:space="preserve">9950-Wateree Range Land Acq;         </t>
  </si>
  <si>
    <t xml:space="preserve">9952-Bear Island  Land Acq;          </t>
  </si>
  <si>
    <t>9953-Chestnut Ridge Land Acq;</t>
  </si>
  <si>
    <t xml:space="preserve">9956-James Island Scarborough Tract;      </t>
  </si>
  <si>
    <t>9957-Keowee Tract Land Acq;</t>
  </si>
  <si>
    <t xml:space="preserve">9959-S Fenwick Isl Land Acq;         </t>
  </si>
  <si>
    <t xml:space="preserve">9960-Murphy Isl Dike;                   </t>
  </si>
  <si>
    <t xml:space="preserve">9961-Bear Isl Dike   </t>
  </si>
  <si>
    <t xml:space="preserve">9962-Cedar Isl Dike;      </t>
  </si>
  <si>
    <t xml:space="preserve">9963-Samworth   Dike;                              </t>
  </si>
  <si>
    <t>9965-Spring Stevens Hatchery;</t>
  </si>
  <si>
    <t>9966-Wateree Range Renovation</t>
  </si>
  <si>
    <t xml:space="preserve">9967-Ft Johnson Boat Slip;          </t>
  </si>
  <si>
    <t xml:space="preserve">9968-Ft Johnson Roof Replacement        </t>
  </si>
  <si>
    <t>Boating Safety</t>
  </si>
  <si>
    <t>Boating Access</t>
  </si>
  <si>
    <t xml:space="preserve"> IT Equipment</t>
  </si>
  <si>
    <t>Invasive Species</t>
  </si>
  <si>
    <t>IT Equipment - Water Resources Operating</t>
  </si>
  <si>
    <t>State River Basins Study</t>
  </si>
  <si>
    <t>LE &amp; HE Equipment</t>
  </si>
  <si>
    <t>Heavy Equipment</t>
  </si>
  <si>
    <t>Spring Stevens Hatchery</t>
  </si>
  <si>
    <t>Wildlife Mgmt Areas</t>
  </si>
  <si>
    <t>Surface Water Model</t>
  </si>
  <si>
    <t>Law Enf Comm Ctr Upgrade</t>
  </si>
  <si>
    <t>Coastal/Offshore Study</t>
  </si>
  <si>
    <t>Drill Rig/Water Truck</t>
  </si>
  <si>
    <t>License Term Conv</t>
  </si>
  <si>
    <t>Upper Coastal Waterfowl Impound</t>
  </si>
  <si>
    <t>High Resolution Elevation Mapping</t>
  </si>
  <si>
    <t>118.16(B)(38)(g) (2016-17 Proviso)</t>
  </si>
  <si>
    <t>118.16(B)(38)(a) (2016-17 Proviso)</t>
  </si>
  <si>
    <t>118.16(B)(38)(b) (2016-17 Proviso)</t>
  </si>
  <si>
    <t>118.16(B)(38)(c) (2016-17 Proviso)</t>
  </si>
  <si>
    <r>
      <rPr>
        <b/>
        <sz val="10"/>
        <color theme="1"/>
        <rFont val="Calibri Light"/>
        <family val="2"/>
        <scheme val="major"/>
      </rPr>
      <t xml:space="preserve">2016-17 Fiscal Year; Proviso 118.16. </t>
    </r>
    <r>
      <rPr>
        <sz val="10"/>
        <color theme="1"/>
        <rFont val="Calibri Light"/>
        <family val="2"/>
        <scheme val="major"/>
      </rPr>
      <t xml:space="preserve">(SR: Nonrecurring Revenue)  
(A) The source of revenue appropriated in subsection (B) is nonrecurring revenue generated from the following sources: (1) $46,750,797 from Fiscal Year 2014-15 Contingency Reserve Fund; (2) $239,798,000 from Fiscal Year 2015-16 unobligated general fund revenue as certified by the Board of Economic Advisors; (3) $139,260,007 from the Litigation Recovery Account; (4) $14,426,041 from Fiscal Year 2015-16 (V040) Excess Debt Service; (5) $11,885,511 from Fiscal Year 2015-16 (X440) Excess Homestead Exemption; (6) $5,494,506 from Fiscal Year 2015-16 F30 Carry Forward and Bonus Lapse; and (7) $400,000 from the Department of Revenue Identity Theft Reimbursement Fund Lapse.  
Any restrictions concerning specific utilization of these funds are lifted for the specified fiscal year.  The above agency transfers shall occur no later than thirty days after the close of the books on Fiscal Year 2015-16 and shall be available for use in Fiscal Year 2016-17.
This revenue is deemed to have occurred and is available for use in Fiscal Year 2016-17 after September 1, 2016, following the Comptroller General's close of the state's books on Fiscal Year 2015-16.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2016, for the purposes stated: 
… Please note: Text printed in italic, boldface indicates sections vetoed by the Governor on June 8, 2016. **Indicates those vetoes overridden by the General Assembly on June 15, 2016 .… 
</t>
    </r>
    <r>
      <rPr>
        <b/>
        <sz val="10"/>
        <color theme="1"/>
        <rFont val="Calibri Light"/>
        <family val="2"/>
        <scheme val="major"/>
      </rPr>
      <t>(38)  P240 - Department of Natural Resources:  (a) Fort Johnson Roof Replacement - $1,515,132; (b) Law Enforcement Communication Center Upgrade - $800,000; (c)  Springs Stevens Hatchery - Harvest Kettle Renovation - $800,000; (d) Waddell Center Infrastructure - $100,000; (e)  Wildlife Management Areas - $3,000,000; (f) Heavy Equipment - Road and Dike Maintenance - $210,000; **(g) Upper Coastal Waterfowl Project Maintenance and Repair - $1,600,000</t>
    </r>
  </si>
  <si>
    <r>
      <rPr>
        <b/>
        <sz val="10"/>
        <color theme="1"/>
        <rFont val="Calibri Light"/>
        <family val="2"/>
        <scheme val="major"/>
      </rPr>
      <t>2015-16 Fiscal Year; Proviso 118.14.</t>
    </r>
    <r>
      <rPr>
        <sz val="10"/>
        <color theme="1"/>
        <rFont val="Calibri Light"/>
        <family val="2"/>
        <scheme val="major"/>
      </rPr>
      <t xml:space="preserve"> (SR: Nonrecurring Revenue)  
(A) The source of revenue appropriated in subsection (B) is nonrecurring revenue generated from the following sources: (1) $19,740,576 from Fiscal Year 2013-14 Contingency Reserve Fund; (2) $19,280,467 from Fiscal Year 2014-15 unobligated general fund revenue as certified by the Board of Economic Advisors; (3) $27,802,168 from the Litigation Recovery Account; and (4) $49,500,000 from Fiscal Year 2015-16 non-recurring contribution from the Unclaimed Property Fund.
Any restrictions concerning specific utilization of these funds are lifted for the specified fiscal year.  The above agency transfers shall occur no later than thirty days after the close of the books on Fiscal Year 2014-15 and shall be available for use in Fiscal Year 2015-16.
This revenue is deemed to have occurred and is available for use in Fiscal Year 2015-16 after September 1, 2015, following the Comptroller General's close of the state's books on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2015, for the purposes stated: 
… Please note: Text printed in italic, boldface indicates sections vetoed by the Governor on June 29, 2015. **Indicates those vetoes overridden by the General Assembly on July 6 and 7, 2015. … 
</t>
    </r>
    <r>
      <rPr>
        <b/>
        <sz val="10"/>
        <color theme="1"/>
        <rFont val="Calibri Light"/>
        <family val="2"/>
        <scheme val="major"/>
      </rPr>
      <t>(40) P24 - Department of Natural Resources (a) Surface Water Modeling Phase III - Final - $700,000; (b) Law Enforcement Vehicles for New Officers - $1; (c) High Resolution Elevation Data Development - $500,000</t>
    </r>
  </si>
  <si>
    <t>118.14(B)(40)(a) (2015-16 Proviso)</t>
  </si>
  <si>
    <t>118.16(B)(38)(f) (2016-17 Proviso)</t>
  </si>
  <si>
    <t>118.16(B)(38)(e) (2016-17 Proviso)</t>
  </si>
  <si>
    <t>118.14(B)(40)(c) (2015-16 Proviso)</t>
  </si>
  <si>
    <t>118.16(B)(48)(a) (2014-15 Proviso)</t>
  </si>
  <si>
    <t>118.16(B)(48)(c) (2014-15 Proviso)</t>
  </si>
  <si>
    <t>118.16(B)(38)(d) (2016-17 Proviso);
118.16(B)(48)(d) (2014-15 Proviso)</t>
  </si>
  <si>
    <r>
      <rPr>
        <b/>
        <sz val="10"/>
        <color theme="1"/>
        <rFont val="Calibri Light"/>
        <family val="2"/>
        <scheme val="major"/>
      </rPr>
      <t>2013-14 Fiscal Year; Proviso 118.17.</t>
    </r>
    <r>
      <rPr>
        <sz val="10"/>
        <color theme="1"/>
        <rFont val="Calibri Light"/>
        <family val="2"/>
        <scheme val="major"/>
      </rPr>
      <t xml:space="preserve"> (SR: Non-recurring Revenue)  
(A) The source of revenue appropriated in this provision is non-recurring revenue generated from the following sources: (1) $159,845,460 from Fiscal Year 2012-2013 unobligated general fund revenue as certified by the Board of Economic Advisors; (2) $1,782,396 from the LCD Hitachi Settlement; and (3) Funds from Settlement of the 2003-2012 NPM Adjustments Under the Tobacco Master Settlement Agreement which shall be transferred to the General Fund of the State.
This revenue is deemed to have occurred and is available for use in Fiscal Year 2013-2014 after September 1, 2013, following the Comptroller General's close of the state's books on Fiscal Year 2012-2013.
Any restrictions concerning specific utilization of these funds are lifted for the specified fiscal year.  The above agency transfers shall occur no later than thirty days after the close of the books on Fiscal Year 2012-2013 and shall be available for use in Fiscal year 2013-2014.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2013, for the purposes stated:
… Please note: Text printed in italic, boldface indicates sections vetoed by the Governor on June 25, 2013.  **Indicates those vetoes overridden by the General Assembly on June 26 and 27, 2013. … 
</t>
    </r>
    <r>
      <rPr>
        <b/>
        <sz val="10"/>
        <color theme="1"/>
        <rFont val="Calibri Light"/>
        <family val="2"/>
        <scheme val="major"/>
      </rPr>
      <t>(26) P24 - Department of Natural Resources **(a) Outreach Programs - $200,000; (b)  State River Basin Study - $1,500,000; (c)  Information Technology - Phase II Upgrade Software and Equipment Replacement - $1,725,000; (d)  Groundwater Monitoring Clusters - $250,000; (e)  Enforcement Division Vehicles - $785,050; (f)  Invasive Species Control Program - $50,000; (g)  Catawba/Wateree River Basin Study - $250,000; (26.1) The funds appropriated above to the Department of Natural Resources for the State River Basin Study Project must be used for water data collection to provide scientific information on water resources in the state's eight major river basins.  The department shall, on a quarterly basis beginning October 1, 2013, submit to the Senate Finance Committee, the House Ways and Means Committee, the Senate Agriculture and Natural Resources Committee, and the House Agriculture, Natural Resources and Environmental Affairs Committee, a report on the project's timeline, findings, and expenditure of funds.  Additionally, this information shall be posted electronically on the Department of Natural Resources and the Department of Health and Environmental Control websites.</t>
    </r>
  </si>
  <si>
    <t>Provisos - Complete Wording</t>
  </si>
  <si>
    <t>118.17(B)(26)(b) (2013-14 Proviso)</t>
  </si>
  <si>
    <t>118.17(B)(26)(f) (2013-14 Proviso)</t>
  </si>
  <si>
    <t>118.17(B)(26)(e) (2013-14 Proviso);
118.16(B)(48)(b) (2014-15 Proviso)</t>
  </si>
  <si>
    <r>
      <rPr>
        <b/>
        <sz val="10"/>
        <color theme="1"/>
        <rFont val="Calibri Light"/>
        <family val="2"/>
        <scheme val="major"/>
      </rPr>
      <t>2014-15 Fiscal Year; Proviso 118.16.</t>
    </r>
    <r>
      <rPr>
        <sz val="10"/>
        <color theme="1"/>
        <rFont val="Calibri Light"/>
        <family val="2"/>
        <scheme val="major"/>
      </rPr>
      <t xml:space="preserve"> (SR: Non-recurring Revenue)  
(A) The source of revenue appropriated in subsection (B) is non-recurring revenue generated from the following sources: (1) $68,370,147 from Fiscal Year 2012-13 Contingency Reserve Fund; (2) $165,016,789 from Fiscal Year 2013-14 unobligated general fund revenue as certified by the Board of Economic Advisors; and (3) $2,288,513 from Fiscal Year 2013-14 Capital Reserve Fund lapse.
This revenue is deemed to have occurred and is available for use in Fiscal Year 2014-15 after September 1, 2014, following the Comptroller General's close of the state's books on Fiscal Year 2013-14.
Any restrictions concerning specific utilization of these funds are lifted for the specified fiscal year.  The above agency transfers shall occur no later than thirty days after the close of the books on Fiscal Year 2013-14 and shall be available for use in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2014, for the purposes stated:
… Please note: Text printed in italic, boldface indicates sections vetoed by the Governor on June 11, 2014.  **Indicates those vetoes overridden by the General Assembly on June 17 and 18, 2014. …
</t>
    </r>
    <r>
      <rPr>
        <b/>
        <sz val="10"/>
        <color theme="1"/>
        <rFont val="Calibri Light"/>
        <family val="2"/>
        <scheme val="major"/>
      </rPr>
      <t>(48) P24 - Department of Natural Resources (a) Coastal and Offshore Mapping and Water Monitoring - $300,000; (b) Law Enforcement Vehicle Replacement - $450,000; **(c) Drill Rig/Water Truck - $570,000; **(d) Waddell Center Infrastructure - $1,100,000;</t>
    </r>
  </si>
  <si>
    <r>
      <rPr>
        <b/>
        <sz val="10"/>
        <color theme="1"/>
        <rFont val="Calibri Light"/>
        <family val="2"/>
        <scheme val="major"/>
      </rPr>
      <t>2012-13 Fiscal Year; Proviso 90.20.</t>
    </r>
    <r>
      <rPr>
        <sz val="10"/>
        <color theme="1"/>
        <rFont val="Calibri Light"/>
        <family val="2"/>
        <scheme val="major"/>
      </rPr>
      <t xml:space="preserve"> (SR: Non-recurring Revenue)  
(A)  The source of revenue appropriated in this provision is $555,153,157 of non-recurring revenue generated from the following sources and transferred to the State Treasurer.  This revenue is deemed to have occurred and is available for use in Fiscal Year 2012-13 after September 1, 2012, following the Comptroller General's close of the state's books on Fiscal Year 2011-12.  (1) $122,333,689 from Fiscal Year 2010-11 Contingency Reserve Fund; (2) $397,086,761 from Fiscal Year 2011-12 unobligated general fund revenue as certified by the Board of Economic Advisors; (3) $30,722,343 from Fiscal Year 2012-13 general fund revenue; and (4) $5,010,364 from Fiscal Year 2011-12 Capital Reserve Fund lapse.
Any restrictions concerning specific utilization of these funds are lifted for the specified fiscal year.  The above agency transfers shall occur no later than thirty days after the close of the books on Fiscal Year 2011-12 and shall be available for use in Fiscal year 2012-13.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2012, for the purposes stated:
… Please note: Text printed in italic, boldface indicates sections vetoed by the Governor on July 5, 2012.  **Indicates those vetoes overridden by the General Assembly on July 17 and 18, 2012. …
</t>
    </r>
    <r>
      <rPr>
        <b/>
        <sz val="10"/>
        <color theme="1"/>
        <rFont val="Calibri Light"/>
        <family val="2"/>
        <scheme val="major"/>
      </rPr>
      <t>(20) P24-Department of Natural Resources **(a) Replacement of IT Equipment and Maintenance - $1,260,505; (b) Water Resources Other Operating - $1,000,000;</t>
    </r>
  </si>
  <si>
    <t>90.20(B)(20)(b)(2012-13 Fiscal Year)</t>
  </si>
  <si>
    <t>118.17(B)(26)(c) (2013-14 Proviso);
90.20(B)(20)(a)(2012-13 Fiscal Year)</t>
  </si>
  <si>
    <t>Reference in Row 10A</t>
  </si>
  <si>
    <t>Programs and Services</t>
  </si>
  <si>
    <t>Conservation Education</t>
  </si>
  <si>
    <t>Outreach Programs</t>
  </si>
  <si>
    <t>Web Svcs &amp; Technol. Devel.</t>
  </si>
  <si>
    <t>Boat Titling &amp; Registration</t>
  </si>
  <si>
    <t>Titling &amp; Licensing Services</t>
  </si>
  <si>
    <t>Regional Projects</t>
  </si>
  <si>
    <t>Wildlife &amp; Freshwater Fisheries</t>
  </si>
  <si>
    <t>Law Enforcement</t>
  </si>
  <si>
    <t>Hunter Safety</t>
  </si>
  <si>
    <t>Marine Resources</t>
  </si>
  <si>
    <t>Marine Conservation &amp; Mgmt</t>
  </si>
  <si>
    <t>Marine Research &amp; Monitoring</t>
  </si>
  <si>
    <t>Land,Water &amp; Conservation</t>
  </si>
  <si>
    <t>Conservation</t>
  </si>
  <si>
    <t>Employee Benefits</t>
  </si>
  <si>
    <t>Program #</t>
  </si>
  <si>
    <t>Program Description</t>
  </si>
  <si>
    <t>General Appropriation Act</t>
  </si>
  <si>
    <t>Proviso Referencing</t>
  </si>
  <si>
    <t>Upper Coastal Waterfowl Project Maintenance and Repair - $1,600,000</t>
  </si>
  <si>
    <t>Heavy Equipment - Road and Dike Maintenance - $210,000;</t>
  </si>
  <si>
    <t>Wildlife Management Areas - $3,000,000;</t>
  </si>
  <si>
    <t>Waddell Center Infrastructure - $100,000;</t>
  </si>
  <si>
    <t>Springs Stevens Hatchery - Harvest Kettle Renovation - $800,000;</t>
  </si>
  <si>
    <t>Law Enforcement Communication Center Upgrade - $800,000;</t>
  </si>
  <si>
    <t>Fort Johnson Roof Replacement - $1,515,132;</t>
  </si>
  <si>
    <t>Proviso #</t>
  </si>
  <si>
    <t>Proviso Description</t>
  </si>
  <si>
    <t>Provisos</t>
  </si>
  <si>
    <t>118.16(B)(38)(a)(FY 2016-17)</t>
  </si>
  <si>
    <t>118.16(B)(38)(b)(FY 2016-17)</t>
  </si>
  <si>
    <t>118.16(B)(38)(c)(FY 2016-17)</t>
  </si>
  <si>
    <t>118.16(B)(38)(d)(FY 2016-17)</t>
  </si>
  <si>
    <t>118.16(B)(38)(e)(FY 2016-17)</t>
  </si>
  <si>
    <t>118.16(B)(38)(f)(FY 2016-17)</t>
  </si>
  <si>
    <t>118.16(B)(38)(g)(FY 2016-17)</t>
  </si>
  <si>
    <t>118.14(B)(40)(a)(FY 2015-16)</t>
  </si>
  <si>
    <t>118.16(B)(48)(a)(FY 2014-15)</t>
  </si>
  <si>
    <t>118.16(B)(48)(b)(FY 2014-15)</t>
  </si>
  <si>
    <t>118.16(B)(48)(c)(FY 2014-15)</t>
  </si>
  <si>
    <t>118.16(B)(48)(d)(FY 2014-15)</t>
  </si>
  <si>
    <t>118.17(B)(26)(a)(FY 2013-14)</t>
  </si>
  <si>
    <t>118.17(B)(26)(b)(FY 2013-14)</t>
  </si>
  <si>
    <t>118.17(B)(26)(c)(FY 2013-14)</t>
  </si>
  <si>
    <t>118.17(B)(26)(d)(FY 2013-14)</t>
  </si>
  <si>
    <t>118.17(B)(26)(e)(FY 2013-14)</t>
  </si>
  <si>
    <t>118.17(B)(26)(f)(FY 2013-14)</t>
  </si>
  <si>
    <t>118.17(B)(26)(g)(FY 2013-14)</t>
  </si>
  <si>
    <t>90.20(B)(20)(a)(FY 2012-13)</t>
  </si>
  <si>
    <t>118.14(B)(40)(b)(FY 2015-16)</t>
  </si>
  <si>
    <t>118.14(B)(40)(c)(FY 2015-16)</t>
  </si>
  <si>
    <t>118.17(B)(26.1)(FY 2013-14)</t>
  </si>
  <si>
    <t>90.20(B)(20)(b)(FY 2012-13)</t>
  </si>
  <si>
    <t>Water Resources Other Operating - $1,000,000;</t>
  </si>
  <si>
    <t>Replacement of IT Equipment and Maintenance - $1,260,505;</t>
  </si>
  <si>
    <t>The funds appropriated above to the Department of Natural Resources for the State River Basin Study Project must be used for water data collection to provide scientific information on water resources in the state's eight major river basins.  The department shall, on a quarterly basis beginning October 1, 2013, submit to the Senate Finance Committee, the House Ways and Means Committee, the Senate Agriculture and Natural Resources Committee, and the House Agriculture, Natural Resources and Environmental Affairs Committee, a report on the project's timeline, findings, and expenditure of funds.  Additionally, this information shall be posted electronically on the Department of Natural Resources and the Department of Health and Environmental Control websites.</t>
  </si>
  <si>
    <t>Catawba/Wateree River Basin Study - $250,000;</t>
  </si>
  <si>
    <t>Invasive Species Control Program - $50,000;</t>
  </si>
  <si>
    <t>Groundwater Monitoring Clusters - $250,000;</t>
  </si>
  <si>
    <t>Enforcement Division Vehicles - $785,050;</t>
  </si>
  <si>
    <t>Information Technology - Phase II Upgrade Software and Equipment Replacement - $1,725,000;</t>
  </si>
  <si>
    <t>State River Basin Study - $1,500,000;</t>
  </si>
  <si>
    <t>Outreach Programs - $200,000;</t>
  </si>
  <si>
    <t>Waddell Center Infrastructure - $1,100,000;</t>
  </si>
  <si>
    <t>Drill Rig/Water Truck - $570,000;</t>
  </si>
  <si>
    <t>Law Enforcement Vehicle Replacement - $450,000;</t>
  </si>
  <si>
    <t>Coastal and Offshore Mapping and Water Monitoring - $300,000;</t>
  </si>
  <si>
    <t>High Resolution Elevation Data Development - $500,000</t>
  </si>
  <si>
    <t>Law Enforcement Vehicles for New Officers - $1;</t>
  </si>
  <si>
    <t>Surface Water Modeling Phase III - Final - $700,000;</t>
  </si>
  <si>
    <t xml:space="preserve">2016-17 Fiscal Year; Proviso 118.16. (SR: Nonrecurring Revenue)  </t>
  </si>
  <si>
    <t xml:space="preserve">2015-16 Fiscal Year; Proviso 118.14. (SR: Nonrecurring Revenue)  </t>
  </si>
  <si>
    <t xml:space="preserve">2014-15 Fiscal Year; Proviso 118.16. (SR: Non-recurring Revenue)  </t>
  </si>
  <si>
    <t xml:space="preserve">2013-14 Fiscal Year; Proviso 118.17. (SR: Non-recurring Revenue)  </t>
  </si>
  <si>
    <t xml:space="preserve">2012-13 Fiscal Year; Proviso 90.20. (SR: Non-recurring Revenue)  </t>
  </si>
  <si>
    <t>Fund # (Expendable Level - 8 digit) (full set of financials available for each through SCEIS)</t>
  </si>
  <si>
    <t xml:space="preserve">I.;  II.A.1.;  II.A.3.; II.B.1.; II.D.1.; II.D.3.; II.D.5.; II.E.1.;II.F.1.;  II.F.2.; II.G.1.; II. G.2.     </t>
  </si>
  <si>
    <t xml:space="preserve">Prior to receiving these report guidelines, did the agency have a comprehensive strategic plan? </t>
  </si>
  <si>
    <t>None</t>
  </si>
  <si>
    <t xml:space="preserve">Objective 5.5.1 - Publish and distribute the South Carolina Wildlife magazine, serving as the voice of natural resources in the state. 
</t>
  </si>
  <si>
    <t>Amount of appropriations and authorizations remaining</t>
  </si>
  <si>
    <t>Amount of appropriations and authorizations remaining (BUDGETED)</t>
  </si>
  <si>
    <t>Cash balance as of July 1, 2017 (start of FY 2017-18)</t>
  </si>
  <si>
    <t>Percentage of Total Appropriated and Authorized to Spend</t>
  </si>
  <si>
    <t>2017 - Land, Water, and Conservation (LWC)</t>
  </si>
  <si>
    <t>2017 - Office of Support Services (OSS)</t>
  </si>
  <si>
    <t>2017 - Office of Media and Outreach (OMO)</t>
  </si>
  <si>
    <t>2017 - Law Enforcement (LE)</t>
  </si>
  <si>
    <t>2017 - Marine Resource Division (MRD)</t>
  </si>
  <si>
    <t>2017 - Wildlife and Freshwater Fisheries (WFF)</t>
  </si>
  <si>
    <t>2018 - Land, Water, and Conservation (LWC)</t>
  </si>
  <si>
    <t>2018 - Law Enforcement (LE)</t>
  </si>
  <si>
    <t>2018 - Marine Resource Division (MRD)</t>
  </si>
  <si>
    <t>2018 - Wildlife and Freshwater Fisheries (WFF)</t>
  </si>
  <si>
    <t>2018 - Office of Support Services (OSS)</t>
  </si>
  <si>
    <t>2018 - Executive (OSS, OEP, OMO, etc.)</t>
  </si>
  <si>
    <t>2018 - Office of Media and Outreach (OMO)</t>
  </si>
  <si>
    <t>2018 - LWC</t>
  </si>
  <si>
    <t>2018 - LE Regional Field Operations</t>
  </si>
  <si>
    <t>2018 - LE Staff Operations Training Division</t>
  </si>
  <si>
    <t>2018 - LE Operations</t>
  </si>
  <si>
    <t>2018 - LE Staff Operations Emergency Management &amp; Homeland Security</t>
  </si>
  <si>
    <t>2018 - LE Education &amp; Outreach</t>
  </si>
  <si>
    <t xml:space="preserve">2018 - LWC-Scenic Rivers Program </t>
  </si>
  <si>
    <t xml:space="preserve">2018 - LWC-Heritage Trust Program:  Endangered Species  </t>
  </si>
  <si>
    <t xml:space="preserve">2018 - LWC-Conservation Districts Program </t>
  </si>
  <si>
    <t xml:space="preserve">2018 - LWC-Cultural Resources Management Program </t>
  </si>
  <si>
    <t xml:space="preserve">2018 - LWC-Aquatic Nuisance Species Program </t>
  </si>
  <si>
    <t xml:space="preserve">2018 - LWC-Flood Mitigation Program </t>
  </si>
  <si>
    <t xml:space="preserve">2018 - LWC-Climatology Program </t>
  </si>
  <si>
    <t xml:space="preserve">2018 - LWC-GIS Program </t>
  </si>
  <si>
    <t xml:space="preserve">2018 - LWC-Geology Program </t>
  </si>
  <si>
    <t>2018 - LWC-Hydrology Program</t>
  </si>
  <si>
    <t>2017 - LWC-Hydrology Program</t>
  </si>
  <si>
    <t xml:space="preserve">2017 - LWC-Geology Program </t>
  </si>
  <si>
    <t xml:space="preserve">2017 - LWC-GIS Program </t>
  </si>
  <si>
    <t xml:space="preserve">2017 - LWC-Climatology Program </t>
  </si>
  <si>
    <t xml:space="preserve">2017 - LWC-Flood Mitigation Program </t>
  </si>
  <si>
    <t xml:space="preserve">2017 - LWC-Aquatic Nuisance Species Program </t>
  </si>
  <si>
    <t xml:space="preserve">2017 - LWC-Cultural Resources Management Program </t>
  </si>
  <si>
    <t xml:space="preserve">2017 - LWC-Heritage Trust Program:  Endangered Species  </t>
  </si>
  <si>
    <t xml:space="preserve">2017 - LWC-Conservation Districts Program </t>
  </si>
  <si>
    <t xml:space="preserve">2017 - LWC-Scenic Rivers Program </t>
  </si>
  <si>
    <t>2017 - LE Education &amp; Outreach</t>
  </si>
  <si>
    <t>2017 - LE Regional Field Operations</t>
  </si>
  <si>
    <t>2017 - LE Staff Operations Emergency Management &amp; Homeland Security</t>
  </si>
  <si>
    <t>2017 - LE Staff Operations Training Division</t>
  </si>
  <si>
    <t>2017 - LE Operations</t>
  </si>
  <si>
    <t>2017 - Executive (OSS, OEP, OMO, etc.)</t>
  </si>
  <si>
    <t>Law Enforcement Division</t>
  </si>
  <si>
    <t>Office of Support Services Division</t>
  </si>
  <si>
    <t>Land, Water, and Conservation Division</t>
  </si>
  <si>
    <t>Marine Resource Division</t>
  </si>
  <si>
    <t>Cash balance as of July 1, 2016 (start of FY 2016-17)</t>
  </si>
  <si>
    <t>Cash balance as of June 30, 2017 (end of FY 2016-17)</t>
  </si>
  <si>
    <t>Cash balance as of June 30, 2018 (end of FY 2017-18) (BUDGETED)</t>
  </si>
  <si>
    <t>State Funded Program Number in the General Appropriations Act  (Titles of programs in chart at end)</t>
  </si>
  <si>
    <t xml:space="preserve">Total </t>
  </si>
  <si>
    <t>By revenue source</t>
  </si>
  <si>
    <t xml:space="preserve">Goal 1 - Develop and Implement programs that study, manage and conserve the State’s Land and Water Resources through planning, research, technical assistance, public education and the development of a comprehensive natural resources database.
</t>
  </si>
  <si>
    <t xml:space="preserve">Strategy 1.1 - Water Resource Management and Earth Science research, as well as review of proposed environmental impacts as published in the regulatory arena to provide reliable, science-based information to decision makers and the public.
</t>
  </si>
  <si>
    <t xml:space="preserve">Strategy 1.2 - State Climate Office/Flood Mitigation activities provide reliable information for the protection of lives and property.
</t>
  </si>
  <si>
    <t xml:space="preserve">Objective 1.1.1 - Conduct or arrange for studies, inquires, surveys, or analysis; prepare reports; review actions; and appoint advisory boards as may be relevant in implementation of water policy.  
</t>
  </si>
  <si>
    <t xml:space="preserve">Objective 1.1.2- Produce reliable geologic maps and information in support of economic development, environmental protection, and land-use planning. 
</t>
  </si>
  <si>
    <t xml:space="preserve">Objective 1.1.3  - Expand digital capabilities and uses for the dissemination of information.
</t>
  </si>
  <si>
    <t xml:space="preserve">Objective 1.2.1 - Monitor, conduct and report on studies of climate and weather events of environmental and economic importance to the State.
</t>
  </si>
  <si>
    <t xml:space="preserve">Objective 1.2.2 - Administer the Federal Emergency Management Agency, Flood Mitigation Assistance, Cooperating Technical Partners, Community Assistance-State Support Services Element Programs.
</t>
  </si>
  <si>
    <t xml:space="preserve">Strategy 1.3 - Aquatic Nuisance Species Control activities support healthy habitat for recreation, fish, wildlife and citizens.
</t>
  </si>
  <si>
    <t xml:space="preserve">Objective 1.3.1 -  Reduce the footprint of invasive species to provide high quality habitat for hunting, fishing, and recreational activities by utilizing prevention, new and existing technologies, biocontrol, and selective herbicides to improve habitat, provide navigability, and keep water supply sources accessible.
</t>
  </si>
  <si>
    <t xml:space="preserve">Strategy 1.4 - Heritage Trust Cultural Resources/Habitat Protection monitors and protects cultural and other resources throughout the state on Heritage Trust properties, and provides culturally related recreational/educational opportunities.
</t>
  </si>
  <si>
    <t xml:space="preserve">Objective 1.4.1 - Survey, research, outreach, education, and management activities for Cultural Heritage Trust Preserves and Programs as well as meeting with the Heritage Trust Advisory Board for board action as required by statute.
</t>
  </si>
  <si>
    <t xml:space="preserve">Objective 1.4.3 - Update inventory of Rare, Threatened and Endangered Species in SC.
</t>
  </si>
  <si>
    <t xml:space="preserve">Strategy 1.5 - Conservation Districts Program assists farmers, ranchers and landowners with Conservation planning and facilitates access to Farm Bill programs through a partnership with the United State Department of Agriculture (USDA).
</t>
  </si>
  <si>
    <t xml:space="preserve">Objective 1.5.1 - Provide increased technical assistance and administrative support to Conservation District Commissioners, District staff and partner agencies.
</t>
  </si>
  <si>
    <t xml:space="preserve">Strategy 1.6- Conservation of SC's river heritage and protection of the unique or outstanding scenic, recreational, geologic, botanical, fish, wildlife, historic and cultural values of selected rivers and river segments of the state.
</t>
  </si>
  <si>
    <t xml:space="preserve">Objective 1.6.1 - Manage the State Scenic Rivers Program, and provide related technical assistance and support to project partners and the public statewide.
</t>
  </si>
  <si>
    <t xml:space="preserve">Goal 2 - 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
</t>
  </si>
  <si>
    <t xml:space="preserve">Strategy 2.1 - Provide for a safe hunting, fishing, and boating environment through outreach.
</t>
  </si>
  <si>
    <t xml:space="preserve">Objective 2.1.1 - Provide for a safe hunting, fishing, and boating environment through outreach.
</t>
  </si>
  <si>
    <t xml:space="preserve">Objective 2.1.2 - Administer the state's Hunter and Boater Safety Certification Programs.
</t>
  </si>
  <si>
    <t xml:space="preserve">Strategy 2.2 - Provide for protection of lives and property.
</t>
  </si>
  <si>
    <t xml:space="preserve">Objective 2.2.1 - Continue as the primary investigator of hunting and boating related accidents and fatalities.
</t>
  </si>
  <si>
    <t xml:space="preserve">Strategy 2.3 - Enforce the state's criminal codes through detection, apprehension, and prosecution.
</t>
  </si>
  <si>
    <t xml:space="preserve">Objective 2.3.1 - Encourage a proactive approach to patrolling to enforce the state's hunting, fishing, environmental, boating, and general criminal laws.
</t>
  </si>
  <si>
    <t xml:space="preserve">Objective 2.3.2 - Continue with providing advanced training opportunities to LE staff and officers to enhance their abilities in violation detection, case preparation, officer safety, and prosecution.
</t>
  </si>
  <si>
    <t xml:space="preserve">Objective 2.3.3 - Administration of the Law Enforcement Program and Staff.
</t>
  </si>
  <si>
    <t xml:space="preserve">Goal 3 - To sustain the State's  living marine resources for the cultural, recreational, commercial and economic benefit of the state's citizens and visitors.
</t>
  </si>
  <si>
    <t xml:space="preserve">Strategy 3.1 - Conduct research on and monitor Marine Species.
</t>
  </si>
  <si>
    <t xml:space="preserve">Objective 3.1.1 - Determine the biology, ecological relationships, threats and critical needs of living marine resources of SC.
</t>
  </si>
  <si>
    <t xml:space="preserve">Objective 3.1.2 - Monitor population status and trends of living marine resources.
</t>
  </si>
  <si>
    <t xml:space="preserve">Objective 3.1.3 - Examine the social and economic importance of marine resources to SC.
</t>
  </si>
  <si>
    <t xml:space="preserve">Objective 3.1.4 - Quantify and monitor marine habitats and water quality.
</t>
  </si>
  <si>
    <t xml:space="preserve">Strategy 3.2 - Manage the Harvest of Marine Resources.
</t>
  </si>
  <si>
    <t xml:space="preserve">Objective 3.2.1 - Open and close fishing seasons, as specified by code and provide commercial licenses and permits as required.
</t>
  </si>
  <si>
    <t xml:space="preserve">Objective 3.2.2 - Determine fishery harvest totals, harvest rates, and fishing effort. 
</t>
  </si>
  <si>
    <t xml:space="preserve">Objective 3.2.3 - Work collaboratively with the regional  Fishery Mgt. Councils and Atl States Mar. Fish. Commission to manage migratory marine species. 
</t>
  </si>
  <si>
    <t xml:space="preserve">Strategy 3.3 - Enhance Marine Fisheries Stocks.
</t>
  </si>
  <si>
    <t xml:space="preserve">Objective 3.3.1 - Stock Resource as needed to replenish resources. 
</t>
  </si>
  <si>
    <t xml:space="preserve">Objective 3.3.2 - Work to ensure artificial reefs continue to sustain marine species and fishing success. 
</t>
  </si>
  <si>
    <t xml:space="preserve">Objective 3.3.3 - Ensure the commercial and recreational oyster beds are replenished with shell substrate.  
</t>
  </si>
  <si>
    <t xml:space="preserve">Strategy 3.4 - Engage the general public in protecting and sustaining marine resources through knowledge and personal actions.  
</t>
  </si>
  <si>
    <t xml:space="preserve">Objective 3.4.1 - Work to ensure school children and teachers are informed about the marine environment.
</t>
  </si>
  <si>
    <t xml:space="preserve">Objective 3.4.2 - Teach adults and community leaders about cooperative research, sustainable harvesting practices, habitat protection, and understanding marine management. 
</t>
  </si>
  <si>
    <t xml:space="preserve">Objective 3.4.3 - Provide paper and electronic information and literature on marine resources to the public. 
</t>
  </si>
  <si>
    <t xml:space="preserve">Objective 3.4.4 Provide the general public with  access to  high quality recreational opportunities related to marine/coastal natural resources. 
</t>
  </si>
  <si>
    <t xml:space="preserve">Strategy 3.5 - Provide operational support for MRD research, monitoring, stewardship, and outreach efforts. 
</t>
  </si>
  <si>
    <t xml:space="preserve">Objective 3.5.1 Ensure the MRD programs safely and effectively carry our their mission.
</t>
  </si>
  <si>
    <t xml:space="preserve">Goal 4 - Monitor and protect wildlife species and inland aquatic species and their habitats throughout the state and provide recreational hunting and fishing opportunities to the public.
</t>
  </si>
  <si>
    <t xml:space="preserve">Strategy 4.1 - Conserve freshwater fish and wildlife species in SC.
</t>
  </si>
  <si>
    <t xml:space="preserve">Objective 4.1.1 - Conduct research and monitoring activities of wildlife and freshwater fish.
</t>
  </si>
  <si>
    <t xml:space="preserve">Objective 4.1.2 - Provide and enhance habitats for wildlife and freshwater fish.
</t>
  </si>
  <si>
    <t xml:space="preserve">Objective 4.1.3 - Protect and manage at risk, threatened and endangered species.
</t>
  </si>
  <si>
    <t xml:space="preserve">Objective 4.1.4 - Provide technical assistance and educational workshops to private landowners.
</t>
  </si>
  <si>
    <t xml:space="preserve">Strategy 4.2 - Produce freshwater fish and stock in public waters.
</t>
  </si>
  <si>
    <t xml:space="preserve">Objective 4.2.1 - Operate, restore and upgrade freshwater fish hatchery production facilities.
</t>
  </si>
  <si>
    <t xml:space="preserve">Objective 4.2.2 - Produce adequate species and amounts to meet standard stocking needs.
</t>
  </si>
  <si>
    <t xml:space="preserve">Strategy 4.3 - Administration of hunting and freshwater fishing opportunities.
</t>
  </si>
  <si>
    <t xml:space="preserve">Objective 4.3.1 - Provide hunting opportunities to the public through the Wildlife Management Area Program.
</t>
  </si>
  <si>
    <t xml:space="preserve">Objective 4.3.2 - Provide freshwater fishing opportunities on public water bodies and through the State Lakes Program.
</t>
  </si>
  <si>
    <t xml:space="preserve">Objective 4.3.3 - Provide Wildlife harvest and associated hunting opportunities on public and private lands through permits, tags and public lottery hunts.
</t>
  </si>
  <si>
    <t xml:space="preserve">Objective 4.3.4 - Provide recruitment and retention activities for hunting and freshwater fishing. 
</t>
  </si>
  <si>
    <t xml:space="preserve">Goal 5 - Continuously evaluate and improve administrative and business processes, efficiency, effectiveness and internal and external service delivery  with a focus on transparency, communication, accountability and the integration of new technologies.
</t>
  </si>
  <si>
    <t xml:space="preserve">Strategy 5.1 -Issue all required documents to lawfully operate and show ownership of boats and motors in South Carolina and to legally hunt and fish in the state.
</t>
  </si>
  <si>
    <t xml:space="preserve">Objective 5.1.1 -Issue titles and registration for new boats and motors; process transfers of boats and motors, duplicate titles, decals, registration cards, and lien satisfactions in the most accurate and timely manner.
</t>
  </si>
  <si>
    <t xml:space="preserve">Objective 5.1.2  -Issue the  licenses, permits, tags that are required to hunt and/or fishing in South Carolina.
</t>
  </si>
  <si>
    <t xml:space="preserve">Strategy 5.2 - Review the development, utilization and deployment of agency's internal resources  to deliver the best service possible in meeting the changing business needs of SCDNR, our customers and the citizens of the state.
</t>
  </si>
  <si>
    <t xml:space="preserve">Objective 5.2.1 - Expand  and promote the use of technology, online and contracted call centers and regional locations to better educate customers and simplify customer service interaction for boating, hunting and fishing related inquiries and transactions; and use technology to improve and/or redesign internal and external processes to support all sections of the agency.
</t>
  </si>
  <si>
    <t xml:space="preserve">Objective 5.2.2- Support the agency’s core mission by providing quality and efficient support for all agency sections and programs, including, but not limited to, legal services, human resources support, business and finance, audit management, and legislative support.
</t>
  </si>
  <si>
    <t xml:space="preserve">Strategy 5.3- Review and comment on proposed environmental impacts as published in the regulatory arena to provide reliable, science-based information to decision makers and the public.
</t>
  </si>
  <si>
    <t xml:space="preserve">Objective 5.3.1 - Participate in comprehensive reviews of Federal Energy Regulatory Commission Hydroelectric Project proposals on licensed projects.
</t>
  </si>
  <si>
    <t xml:space="preserve">Objective 5.3.2 - Monitor and review public notices of permit applications submitted to state and federal agencies.
</t>
  </si>
  <si>
    <t xml:space="preserve">Objective 5.3.3 - Review proposed wetland mitigation banks and participate on the Interagency Review Team providing input and guidance in the process of permitting mitigation banks.
</t>
  </si>
  <si>
    <t xml:space="preserve">Strategy 5.4- Provide professional engineering services to external and internal customers to insure safe and high quality access for fishing, boating, shooting and other natural resource related activities, and to maintain agency infrastructure and assets.
</t>
  </si>
  <si>
    <t xml:space="preserve">Objective 5.4.1 - Design and oversee major maintenance and renovation of existing, as well as construction of new boating access facilities, shooting facilities, and other agency infrastructure and assets statewide.
</t>
  </si>
  <si>
    <t xml:space="preserve">Strategy 5.5 - Serve as the principle source of marketing and information for the natural resources of South Carolina, giving accurate and timely facts on license, seasons, and regulations along with outdoor recreation as it pertains to the state resources.
</t>
  </si>
  <si>
    <t xml:space="preserve">Objective 5.5.2 - Accurately disseminate information on hunting, fishing and boating regulations and new laws as they pertain to the natural resources of South Carolina; inform citizens on the opportunities that are available in the states outdoors; communicate information during natural disasters and emergences to the citizens of South Carolina. 
</t>
  </si>
  <si>
    <t>SC Dept of Revenue</t>
  </si>
  <si>
    <t>US Geological Survey</t>
  </si>
  <si>
    <t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t>
  </si>
  <si>
    <t xml:space="preserve">II.F.1.; II.F.2.  </t>
  </si>
  <si>
    <t>II.D.1.;  II.F.1.;   II.F.2.</t>
  </si>
  <si>
    <t xml:space="preserve"> 6000.220100.000 6000.400101.000  6000.400500.000</t>
  </si>
  <si>
    <t xml:space="preserve">FTEs available </t>
  </si>
  <si>
    <t>FTEs filled at start of year</t>
  </si>
  <si>
    <t>Appropriated and Authorized to Spend</t>
  </si>
  <si>
    <t xml:space="preserve">Number of FTE equivalents utilized </t>
  </si>
  <si>
    <t>Number of FTE equivalents planned to utilize</t>
  </si>
  <si>
    <t>685.00-FTE; 
105-TG</t>
  </si>
  <si>
    <t xml:space="preserve">675-FTE; 
101- TG                     </t>
  </si>
  <si>
    <t>Strategy 1.1 - Water Resource Management and Earth Science research, as well as review of proposed environmental impacts as published in the regulatory arena to provide reliable, science-based information to decision makers and the public.</t>
  </si>
  <si>
    <r>
      <t xml:space="preserve">Responsible Employee Name &amp; Time staff member has been responsible for the goal or objective 
</t>
    </r>
    <r>
      <rPr>
        <sz val="8"/>
        <rFont val="Calibri Light"/>
        <family val="2"/>
        <scheme val="major"/>
      </rPr>
      <t/>
    </r>
  </si>
  <si>
    <t xml:space="preserve">Does person have input into budget for objective? </t>
  </si>
  <si>
    <t>Partner(s), by segment, the agency works with to achieve the objective</t>
  </si>
  <si>
    <r>
      <rPr>
        <b/>
        <sz val="11"/>
        <rFont val="Calibri Light"/>
        <family val="2"/>
        <scheme val="major"/>
      </rPr>
      <t xml:space="preserve">Intended Public Benefit/Outcome:
</t>
    </r>
    <r>
      <rPr>
        <sz val="11"/>
        <rFont val="Calibri Light"/>
        <family val="2"/>
        <scheme val="major"/>
      </rPr>
      <t xml:space="preserve">
</t>
    </r>
  </si>
  <si>
    <r>
      <t>2017-18 Comprehensive Strategic Plan Part and Description</t>
    </r>
    <r>
      <rPr>
        <sz val="11"/>
        <rFont val="Calibri Light"/>
        <family val="2"/>
        <scheme val="major"/>
      </rPr>
      <t xml:space="preserve">
</t>
    </r>
    <r>
      <rPr>
        <b/>
        <sz val="11"/>
        <rFont val="Calibri Light"/>
        <family val="2"/>
        <scheme val="major"/>
      </rPr>
      <t xml:space="preserve">
</t>
    </r>
  </si>
  <si>
    <t xml:space="preserve">772.20-FTE                                            </t>
  </si>
  <si>
    <t xml:space="preserve">779.2-FTE                                                 </t>
  </si>
  <si>
    <t>Organizational Unit</t>
  </si>
  <si>
    <t xml:space="preserve"> II.E.1.; II.E.2.</t>
  </si>
  <si>
    <t>2017 - Office of Environmental Programs/Boating Access and Engineering Section</t>
  </si>
  <si>
    <t>2018 - Office of Environmental Programs/Boating Access and Engineering Section</t>
  </si>
  <si>
    <t>2018 - Executive, Office of Support Services (OSS)</t>
  </si>
  <si>
    <t>2017 - Executive, Office of Support Services (OSS)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</si>
</sst>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3" formatCode="_(* #,##0.00_);_(* \(#,##0.00\);_(* &quot;-&quot;??_);_(@_)"/>
    <numFmt numFmtId="164" formatCode="&quot;$&quot;#,##0"/>
  </numFmts>
  <fonts count="26" x14ac:knownFonts="1">
    <font>
      <sz val="10"/>
      <color theme="1"/>
      <name val="Arial"/>
      <family val="2"/>
    </font>
    <font>
      <b/>
      <u/>
      <sz val="10"/>
      <color theme="1"/>
      <name val="Arial"/>
      <family val="2"/>
    </font>
    <font>
      <sz val="10"/>
      <color theme="1"/>
      <name val="Calibri Light"/>
      <family val="2"/>
      <scheme val="major"/>
    </font>
    <font>
      <u/>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u/>
      <sz val="10"/>
      <name val="Calibri Light"/>
      <family val="2"/>
      <scheme val="major"/>
    </font>
    <font>
      <sz val="10"/>
      <color theme="1"/>
      <name val="Arial"/>
      <family val="2"/>
    </font>
    <font>
      <b/>
      <sz val="11"/>
      <color theme="1"/>
      <name val="Calibri Light"/>
      <family val="2"/>
      <scheme val="major"/>
    </font>
    <font>
      <sz val="11"/>
      <color theme="1"/>
      <name val="Calibri Light"/>
      <family val="2"/>
      <scheme val="major"/>
    </font>
    <font>
      <b/>
      <u/>
      <sz val="11"/>
      <color theme="1"/>
      <name val="Calibri Light"/>
      <family val="2"/>
      <scheme val="major"/>
    </font>
    <font>
      <u/>
      <sz val="11"/>
      <color theme="1"/>
      <name val="Calibri Light"/>
      <family val="2"/>
      <scheme val="major"/>
    </font>
    <font>
      <sz val="11"/>
      <name val="Calibri Light"/>
      <family val="2"/>
      <scheme val="major"/>
    </font>
    <font>
      <b/>
      <sz val="11"/>
      <name val="Calibri Light"/>
      <family val="2"/>
      <scheme val="major"/>
    </font>
    <font>
      <b/>
      <sz val="11"/>
      <color theme="0"/>
      <name val="Calibri Light"/>
      <family val="2"/>
      <scheme val="major"/>
    </font>
    <font>
      <sz val="11"/>
      <color theme="9" tint="-0.499984740745262"/>
      <name val="Calibri Light"/>
      <family val="2"/>
      <scheme val="major"/>
    </font>
    <font>
      <sz val="8"/>
      <name val="Calibri Light"/>
      <family val="2"/>
      <scheme val="major"/>
    </font>
    <font>
      <sz val="11"/>
      <color rgb="FF000000"/>
      <name val="Calibri Light"/>
      <family val="2"/>
      <scheme val="major"/>
    </font>
    <font>
      <b/>
      <i/>
      <sz val="10"/>
      <color theme="1"/>
      <name val="Calibri Light"/>
      <family val="2"/>
      <scheme val="major"/>
    </font>
    <font>
      <b/>
      <sz val="16"/>
      <color theme="0"/>
      <name val="Calibri Light"/>
      <family val="2"/>
      <scheme val="major"/>
    </font>
    <font>
      <b/>
      <u/>
      <sz val="10"/>
      <color theme="0"/>
      <name val="Calibri Light"/>
      <family val="2"/>
      <scheme val="maj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B686DA"/>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43" fontId="12" fillId="0" borderId="0" applyFont="0" applyFill="0" applyBorder="0" applyAlignment="0" applyProtection="0"/>
  </cellStyleXfs>
  <cellXfs count="437">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7"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164" fontId="2" fillId="0" borderId="0" xfId="0" applyNumberFormat="1" applyFont="1" applyFill="1" applyBorder="1" applyAlignment="1">
      <alignment horizontal="left" vertical="top" wrapText="1"/>
    </xf>
    <xf numFmtId="0" fontId="2"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2" fillId="0" borderId="0" xfId="0" applyFont="1" applyAlignment="1">
      <alignment horizontal="center" vertical="top" wrapText="1"/>
    </xf>
    <xf numFmtId="0" fontId="5" fillId="0" borderId="0" xfId="0" applyFont="1" applyFill="1" applyBorder="1" applyAlignment="1">
      <alignment horizontal="center" vertical="top" wrapText="1"/>
    </xf>
    <xf numFmtId="0" fontId="7" fillId="2" borderId="8" xfId="0" applyFont="1" applyFill="1" applyBorder="1" applyAlignment="1">
      <alignment horizontal="left" vertical="top" wrapText="1"/>
    </xf>
    <xf numFmtId="0" fontId="2" fillId="0" borderId="0" xfId="0"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5" fillId="2" borderId="8" xfId="0" applyFont="1" applyFill="1" applyBorder="1" applyAlignment="1">
      <alignment vertical="top" wrapText="1"/>
    </xf>
    <xf numFmtId="0" fontId="7" fillId="0" borderId="0" xfId="0" applyFont="1" applyFill="1" applyBorder="1" applyAlignment="1">
      <alignment horizontal="right" vertical="top" wrapText="1"/>
    </xf>
    <xf numFmtId="49" fontId="8" fillId="3" borderId="0" xfId="0" applyNumberFormat="1" applyFont="1" applyFill="1" applyBorder="1" applyAlignment="1">
      <alignment horizontal="left" vertical="top" wrapText="1"/>
    </xf>
    <xf numFmtId="49" fontId="7" fillId="2" borderId="8" xfId="0" applyNumberFormat="1" applyFont="1" applyFill="1" applyBorder="1" applyAlignment="1">
      <alignment horizontal="left" vertical="top" wrapText="1"/>
    </xf>
    <xf numFmtId="0" fontId="5" fillId="3" borderId="0" xfId="0" applyFont="1" applyFill="1" applyBorder="1" applyAlignment="1">
      <alignment horizontal="right" vertical="top" wrapText="1"/>
    </xf>
    <xf numFmtId="0" fontId="2" fillId="0" borderId="0" xfId="0" applyFont="1" applyFill="1" applyAlignment="1">
      <alignment horizontal="center" vertical="top" wrapText="1"/>
    </xf>
    <xf numFmtId="0" fontId="5" fillId="2" borderId="8" xfId="0" applyFont="1" applyFill="1" applyBorder="1" applyAlignment="1">
      <alignment horizontal="left" vertical="top" wrapText="1"/>
    </xf>
    <xf numFmtId="0" fontId="8" fillId="0" borderId="18" xfId="0" applyFont="1" applyFill="1" applyBorder="1" applyAlignment="1">
      <alignment horizontal="left" vertical="top" wrapText="1"/>
    </xf>
    <xf numFmtId="42" fontId="2"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19" xfId="0" applyNumberFormat="1" applyFont="1" applyFill="1" applyBorder="1" applyAlignment="1">
      <alignment horizontal="right" vertical="top" wrapText="1"/>
    </xf>
    <xf numFmtId="42" fontId="2" fillId="0" borderId="19" xfId="0" applyNumberFormat="1" applyFont="1" applyFill="1" applyBorder="1" applyAlignment="1">
      <alignment horizontal="right" vertical="top" wrapText="1"/>
    </xf>
    <xf numFmtId="0" fontId="8" fillId="0" borderId="21" xfId="0" applyFont="1" applyFill="1" applyBorder="1" applyAlignment="1">
      <alignment horizontal="right" vertical="top" wrapText="1"/>
    </xf>
    <xf numFmtId="0" fontId="5" fillId="3" borderId="16" xfId="0" applyFont="1" applyFill="1" applyBorder="1" applyAlignment="1">
      <alignment horizontal="right" vertical="top" wrapText="1"/>
    </xf>
    <xf numFmtId="42" fontId="8" fillId="0" borderId="17" xfId="0" applyNumberFormat="1" applyFont="1" applyFill="1" applyBorder="1" applyAlignment="1">
      <alignment vertical="top" wrapText="1"/>
    </xf>
    <xf numFmtId="164" fontId="7" fillId="2" borderId="11" xfId="0" applyNumberFormat="1" applyFont="1" applyFill="1" applyBorder="1" applyAlignment="1">
      <alignment horizontal="right" vertical="top" wrapText="1"/>
    </xf>
    <xf numFmtId="0" fontId="8" fillId="0" borderId="18" xfId="0" applyFont="1" applyFill="1" applyBorder="1" applyAlignment="1">
      <alignment horizontal="right" vertical="top" wrapText="1"/>
    </xf>
    <xf numFmtId="49" fontId="8" fillId="0" borderId="18" xfId="0" applyNumberFormat="1" applyFont="1" applyFill="1" applyBorder="1" applyAlignment="1">
      <alignment horizontal="left" vertical="top" wrapText="1"/>
    </xf>
    <xf numFmtId="42" fontId="2" fillId="3" borderId="0" xfId="0" applyNumberFormat="1" applyFont="1" applyFill="1" applyBorder="1" applyAlignment="1">
      <alignment horizontal="right" vertical="top" wrapText="1"/>
    </xf>
    <xf numFmtId="42" fontId="8" fillId="0" borderId="5" xfId="0" applyNumberFormat="1" applyFont="1" applyFill="1" applyBorder="1" applyAlignment="1">
      <alignment horizontal="right" vertical="top" wrapText="1"/>
    </xf>
    <xf numFmtId="0" fontId="2" fillId="0" borderId="19" xfId="0" applyFont="1" applyFill="1" applyBorder="1" applyAlignment="1">
      <alignment horizontal="right" vertical="top" wrapText="1"/>
    </xf>
    <xf numFmtId="0" fontId="7" fillId="0" borderId="21" xfId="0" applyFont="1" applyFill="1" applyBorder="1" applyAlignment="1">
      <alignment horizontal="left" vertical="top" wrapText="1"/>
    </xf>
    <xf numFmtId="0" fontId="2" fillId="0" borderId="16" xfId="0" applyFont="1" applyBorder="1" applyAlignment="1">
      <alignment vertical="top" wrapText="1"/>
    </xf>
    <xf numFmtId="42" fontId="8" fillId="0" borderId="17" xfId="0" applyNumberFormat="1" applyFont="1" applyFill="1" applyBorder="1" applyAlignment="1">
      <alignment horizontal="right" vertical="top" wrapText="1"/>
    </xf>
    <xf numFmtId="0" fontId="5" fillId="3" borderId="22" xfId="0" applyFont="1" applyFill="1" applyBorder="1" applyAlignment="1">
      <alignment horizontal="right" vertical="top" wrapText="1"/>
    </xf>
    <xf numFmtId="42" fontId="8" fillId="0" borderId="23" xfId="0" applyNumberFormat="1" applyFont="1" applyFill="1" applyBorder="1" applyAlignment="1">
      <alignment horizontal="right" vertical="top" wrapText="1"/>
    </xf>
    <xf numFmtId="0" fontId="2" fillId="0" borderId="20" xfId="0" applyFont="1" applyBorder="1" applyAlignment="1">
      <alignment vertical="top" wrapText="1"/>
    </xf>
    <xf numFmtId="0" fontId="7" fillId="0" borderId="16" xfId="0" applyFont="1" applyFill="1" applyBorder="1" applyAlignment="1">
      <alignment horizontal="left" vertical="top" wrapText="1"/>
    </xf>
    <xf numFmtId="0" fontId="8" fillId="0" borderId="16" xfId="0" applyFont="1" applyFill="1" applyBorder="1" applyAlignment="1">
      <alignment horizontal="left" vertical="top" wrapText="1"/>
    </xf>
    <xf numFmtId="42" fontId="2" fillId="0" borderId="17" xfId="0" applyNumberFormat="1" applyFont="1" applyFill="1" applyBorder="1" applyAlignment="1">
      <alignment horizontal="right" vertical="top" wrapText="1"/>
    </xf>
    <xf numFmtId="42" fontId="7" fillId="2" borderId="17" xfId="0" applyNumberFormat="1" applyFont="1" applyFill="1" applyBorder="1" applyAlignment="1">
      <alignment horizontal="right" vertical="top" wrapText="1"/>
    </xf>
    <xf numFmtId="42" fontId="5" fillId="2" borderId="5" xfId="0" applyNumberFormat="1" applyFont="1" applyFill="1" applyBorder="1" applyAlignment="1">
      <alignment horizontal="right" vertical="top" wrapText="1"/>
    </xf>
    <xf numFmtId="42" fontId="5" fillId="2" borderId="0" xfId="0" applyNumberFormat="1" applyFont="1" applyFill="1" applyBorder="1" applyAlignment="1">
      <alignment horizontal="right" vertical="top" wrapText="1"/>
    </xf>
    <xf numFmtId="42" fontId="5" fillId="2" borderId="19" xfId="0" applyNumberFormat="1" applyFont="1" applyFill="1" applyBorder="1" applyAlignment="1">
      <alignment horizontal="right" vertical="top" wrapText="1"/>
    </xf>
    <xf numFmtId="42" fontId="5" fillId="2" borderId="17" xfId="0" applyNumberFormat="1" applyFont="1" applyFill="1" applyBorder="1" applyAlignment="1">
      <alignment horizontal="right" vertical="top" wrapText="1"/>
    </xf>
    <xf numFmtId="42" fontId="5" fillId="2" borderId="23" xfId="0" applyNumberFormat="1" applyFont="1" applyFill="1" applyBorder="1" applyAlignment="1">
      <alignment horizontal="center" vertical="top" wrapText="1"/>
    </xf>
    <xf numFmtId="42" fontId="5" fillId="2" borderId="17" xfId="0" applyNumberFormat="1" applyFont="1" applyFill="1" applyBorder="1" applyAlignment="1">
      <alignment horizontal="center" vertical="top" wrapText="1"/>
    </xf>
    <xf numFmtId="42" fontId="5" fillId="2" borderId="19" xfId="0" applyNumberFormat="1" applyFont="1" applyFill="1" applyBorder="1" applyAlignment="1">
      <alignment horizontal="center" vertical="top" wrapText="1"/>
    </xf>
    <xf numFmtId="0" fontId="8" fillId="0" borderId="19" xfId="0" applyFont="1" applyFill="1" applyBorder="1" applyAlignment="1">
      <alignment horizontal="right" vertical="top" wrapText="1"/>
    </xf>
    <xf numFmtId="49" fontId="8" fillId="3" borderId="21" xfId="0" applyNumberFormat="1" applyFont="1" applyFill="1" applyBorder="1" applyAlignment="1">
      <alignment horizontal="right" vertical="top" wrapText="1"/>
    </xf>
    <xf numFmtId="164" fontId="2" fillId="0" borderId="17" xfId="0" applyNumberFormat="1" applyFont="1" applyFill="1" applyBorder="1" applyAlignment="1">
      <alignment horizontal="right" vertical="top" wrapText="1"/>
    </xf>
    <xf numFmtId="0" fontId="2" fillId="0" borderId="0" xfId="0" applyNumberFormat="1" applyFont="1" applyFill="1" applyBorder="1" applyAlignment="1">
      <alignment horizontal="right" vertical="top" wrapText="1"/>
    </xf>
    <xf numFmtId="0" fontId="8" fillId="0" borderId="0" xfId="0" applyNumberFormat="1" applyFont="1" applyFill="1" applyBorder="1" applyAlignment="1">
      <alignment horizontal="right" vertical="top" wrapText="1"/>
    </xf>
    <xf numFmtId="0" fontId="2" fillId="0" borderId="17" xfId="0" applyFont="1" applyFill="1" applyBorder="1" applyAlignment="1">
      <alignment horizontal="right" vertical="top" wrapText="1"/>
    </xf>
    <xf numFmtId="42" fontId="7" fillId="2" borderId="11" xfId="0" applyNumberFormat="1" applyFont="1" applyFill="1" applyBorder="1" applyAlignment="1">
      <alignment horizontal="right" vertical="top" wrapText="1"/>
    </xf>
    <xf numFmtId="42" fontId="7" fillId="0" borderId="0" xfId="0" applyNumberFormat="1" applyFont="1" applyFill="1" applyBorder="1" applyAlignment="1">
      <alignment horizontal="right" vertical="top" wrapText="1"/>
    </xf>
    <xf numFmtId="164" fontId="8" fillId="0" borderId="18" xfId="0" applyNumberFormat="1" applyFont="1" applyFill="1" applyBorder="1" applyAlignment="1">
      <alignment horizontal="left" vertical="top" wrapText="1"/>
    </xf>
    <xf numFmtId="0" fontId="7" fillId="2" borderId="0" xfId="0" applyNumberFormat="1" applyFont="1" applyFill="1" applyBorder="1" applyAlignment="1">
      <alignment horizontal="right" vertical="top" wrapText="1"/>
    </xf>
    <xf numFmtId="49" fontId="8" fillId="0" borderId="16" xfId="0" applyNumberFormat="1" applyFont="1" applyFill="1" applyBorder="1" applyAlignment="1">
      <alignment horizontal="left" vertical="top" wrapText="1"/>
    </xf>
    <xf numFmtId="49" fontId="8" fillId="0" borderId="21" xfId="0" applyNumberFormat="1" applyFont="1" applyFill="1" applyBorder="1" applyAlignment="1">
      <alignment horizontal="right" vertical="top" wrapText="1"/>
    </xf>
    <xf numFmtId="164" fontId="7" fillId="2" borderId="0" xfId="0" applyNumberFormat="1" applyFont="1" applyFill="1" applyBorder="1" applyAlignment="1">
      <alignment horizontal="right" vertical="top" wrapText="1"/>
    </xf>
    <xf numFmtId="14" fontId="5" fillId="0" borderId="0" xfId="0" applyNumberFormat="1" applyFont="1" applyBorder="1" applyAlignment="1">
      <alignment horizontal="left" vertical="top" wrapText="1"/>
    </xf>
    <xf numFmtId="164" fontId="5" fillId="2"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5" fillId="2" borderId="17" xfId="0" applyNumberFormat="1" applyFont="1" applyFill="1" applyBorder="1" applyAlignment="1">
      <alignment horizontal="right" vertical="top" wrapText="1"/>
    </xf>
    <xf numFmtId="164" fontId="5" fillId="0" borderId="0" xfId="0" applyNumberFormat="1" applyFont="1" applyFill="1" applyBorder="1" applyAlignment="1">
      <alignment horizontal="right" vertical="top" wrapText="1"/>
    </xf>
    <xf numFmtId="0" fontId="5" fillId="2" borderId="17" xfId="0" applyFont="1" applyFill="1" applyBorder="1" applyAlignment="1">
      <alignment horizontal="right" vertical="top" wrapText="1"/>
    </xf>
    <xf numFmtId="0" fontId="5" fillId="2" borderId="19" xfId="0" applyFont="1" applyFill="1" applyBorder="1" applyAlignment="1">
      <alignment horizontal="right" vertical="top" wrapText="1"/>
    </xf>
    <xf numFmtId="0" fontId="5" fillId="2"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5" fillId="2" borderId="17" xfId="0" applyNumberFormat="1" applyFont="1" applyFill="1" applyBorder="1" applyAlignment="1">
      <alignment horizontal="right" vertical="top" wrapText="1"/>
    </xf>
    <xf numFmtId="0" fontId="2" fillId="0" borderId="17" xfId="0" applyNumberFormat="1" applyFont="1" applyFill="1" applyBorder="1" applyAlignment="1">
      <alignment horizontal="right" vertical="top" wrapText="1"/>
    </xf>
    <xf numFmtId="0" fontId="2" fillId="2" borderId="0" xfId="0" applyFont="1" applyFill="1" applyAlignment="1">
      <alignment horizontal="center" vertical="top" wrapText="1"/>
    </xf>
    <xf numFmtId="0" fontId="9" fillId="4" borderId="0" xfId="0" applyFont="1" applyFill="1" applyBorder="1" applyAlignment="1">
      <alignment vertical="top" wrapText="1"/>
    </xf>
    <xf numFmtId="49" fontId="2" fillId="0" borderId="17" xfId="0" applyNumberFormat="1" applyFont="1" applyFill="1" applyBorder="1" applyAlignment="1">
      <alignment horizontal="right" vertical="top" wrapText="1"/>
    </xf>
    <xf numFmtId="42" fontId="7" fillId="2" borderId="19" xfId="0" applyNumberFormat="1" applyFont="1" applyFill="1" applyBorder="1" applyAlignment="1">
      <alignment horizontal="center" vertical="top" wrapText="1"/>
    </xf>
    <xf numFmtId="0" fontId="5" fillId="0" borderId="0"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applyBorder="1" applyAlignment="1">
      <alignment vertical="top" wrapText="1"/>
    </xf>
    <xf numFmtId="0" fontId="2" fillId="0" borderId="21" xfId="0" applyFont="1" applyFill="1" applyBorder="1" applyAlignment="1">
      <alignment horizontal="left" vertical="top" wrapText="1"/>
    </xf>
    <xf numFmtId="0" fontId="2" fillId="0" borderId="0" xfId="0" applyFont="1" applyAlignment="1">
      <alignment horizontal="left" vertical="top" wrapText="1"/>
    </xf>
    <xf numFmtId="42" fontId="8" fillId="0" borderId="0" xfId="0" applyNumberFormat="1" applyFont="1" applyFill="1" applyBorder="1" applyAlignment="1">
      <alignment vertical="top" wrapText="1"/>
    </xf>
    <xf numFmtId="42" fontId="2" fillId="0" borderId="0" xfId="0" applyNumberFormat="1" applyFont="1" applyFill="1" applyBorder="1" applyAlignment="1">
      <alignment horizontal="left" vertical="top" wrapText="1"/>
    </xf>
    <xf numFmtId="0" fontId="2" fillId="0" borderId="20" xfId="0" applyFont="1" applyFill="1" applyBorder="1" applyAlignment="1">
      <alignment vertical="top" wrapText="1"/>
    </xf>
    <xf numFmtId="0" fontId="2" fillId="7" borderId="0" xfId="0" applyFont="1" applyFill="1" applyBorder="1" applyAlignment="1">
      <alignment horizontal="right" vertical="top" wrapText="1"/>
    </xf>
    <xf numFmtId="0" fontId="2" fillId="10" borderId="0" xfId="0" applyFont="1" applyFill="1" applyBorder="1" applyAlignment="1">
      <alignment horizontal="right" vertical="top" wrapText="1"/>
    </xf>
    <xf numFmtId="0" fontId="2" fillId="6" borderId="0" xfId="0" applyFont="1" applyFill="1" applyBorder="1" applyAlignment="1">
      <alignment horizontal="right" vertical="top" wrapText="1"/>
    </xf>
    <xf numFmtId="0" fontId="2" fillId="5" borderId="0" xfId="0" applyFont="1" applyFill="1" applyBorder="1" applyAlignment="1">
      <alignment horizontal="right" vertical="top" wrapText="1"/>
    </xf>
    <xf numFmtId="0" fontId="2" fillId="11" borderId="0" xfId="0" applyFont="1" applyFill="1" applyBorder="1" applyAlignment="1">
      <alignment horizontal="right" vertical="top" wrapText="1"/>
    </xf>
    <xf numFmtId="0" fontId="2" fillId="0" borderId="0" xfId="0" applyFont="1" applyAlignment="1">
      <alignment vertical="top" wrapText="1"/>
    </xf>
    <xf numFmtId="164" fontId="2" fillId="0" borderId="0" xfId="0" applyNumberFormat="1" applyFont="1" applyFill="1" applyBorder="1" applyAlignment="1">
      <alignment horizontal="center" vertical="top" wrapText="1"/>
    </xf>
    <xf numFmtId="0" fontId="2"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13" fillId="0" borderId="1" xfId="0" applyFont="1" applyBorder="1" applyAlignment="1">
      <alignment horizontal="left" vertical="top" wrapText="1"/>
    </xf>
    <xf numFmtId="49" fontId="14" fillId="0" borderId="1" xfId="0" applyNumberFormat="1" applyFont="1" applyBorder="1" applyAlignment="1">
      <alignment horizontal="left" vertical="top" wrapText="1"/>
    </xf>
    <xf numFmtId="0" fontId="14" fillId="0" borderId="0" xfId="0" applyFont="1" applyAlignment="1">
      <alignment horizontal="left" vertical="top" wrapText="1"/>
    </xf>
    <xf numFmtId="0" fontId="13" fillId="0" borderId="0" xfId="0" applyFont="1" applyBorder="1" applyAlignment="1">
      <alignment horizontal="left" vertical="top" wrapText="1"/>
    </xf>
    <xf numFmtId="14" fontId="14" fillId="0" borderId="1" xfId="0" applyNumberFormat="1" applyFont="1" applyBorder="1" applyAlignment="1">
      <alignment horizontal="left" vertical="top" wrapText="1"/>
    </xf>
    <xf numFmtId="0" fontId="14" fillId="0" borderId="0" xfId="0" applyFont="1" applyBorder="1" applyAlignment="1">
      <alignment horizontal="left" vertical="top" wrapText="1"/>
    </xf>
    <xf numFmtId="49" fontId="14" fillId="0" borderId="0" xfId="0" applyNumberFormat="1" applyFont="1" applyBorder="1" applyAlignment="1">
      <alignment horizontal="left" vertical="top" wrapText="1"/>
    </xf>
    <xf numFmtId="0" fontId="14"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xf numFmtId="0" fontId="14" fillId="0" borderId="0" xfId="0" applyFont="1" applyFill="1" applyAlignment="1">
      <alignment horizontal="left" vertical="top" wrapText="1"/>
    </xf>
    <xf numFmtId="42" fontId="14" fillId="0" borderId="1" xfId="0" applyNumberFormat="1" applyFont="1" applyBorder="1" applyAlignment="1">
      <alignment horizontal="left" vertical="top" wrapText="1"/>
    </xf>
    <xf numFmtId="0" fontId="18" fillId="2" borderId="1" xfId="0" applyFont="1" applyFill="1" applyBorder="1" applyAlignment="1">
      <alignment horizontal="left" vertical="top" wrapText="1"/>
    </xf>
    <xf numFmtId="0" fontId="17" fillId="2" borderId="2"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2" xfId="0" applyFont="1" applyFill="1" applyBorder="1" applyAlignment="1">
      <alignment horizontal="left" vertical="top" wrapText="1"/>
    </xf>
    <xf numFmtId="0" fontId="18" fillId="2" borderId="7"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1" xfId="0" applyFont="1" applyFill="1" applyBorder="1" applyAlignment="1">
      <alignment horizontal="left" vertical="top" wrapText="1"/>
    </xf>
    <xf numFmtId="0" fontId="17" fillId="0" borderId="2" xfId="0" applyFont="1" applyBorder="1" applyAlignment="1">
      <alignment horizontal="left" vertical="top" wrapText="1"/>
    </xf>
    <xf numFmtId="0" fontId="17" fillId="0" borderId="4" xfId="0" applyFont="1" applyFill="1" applyBorder="1" applyAlignment="1">
      <alignment horizontal="left" vertical="top" wrapText="1"/>
    </xf>
    <xf numFmtId="0" fontId="17" fillId="0" borderId="1" xfId="0" applyFont="1" applyBorder="1" applyAlignment="1">
      <alignment horizontal="left" vertical="top" wrapText="1"/>
    </xf>
    <xf numFmtId="0" fontId="14" fillId="0" borderId="4"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4" fillId="0" borderId="3" xfId="0" applyFont="1" applyBorder="1" applyAlignment="1">
      <alignment horizontal="left" vertical="top" wrapText="1"/>
    </xf>
    <xf numFmtId="0" fontId="14" fillId="0" borderId="0" xfId="0" applyFont="1" applyAlignment="1">
      <alignment vertical="top" wrapText="1"/>
    </xf>
    <xf numFmtId="0" fontId="14" fillId="0" borderId="1" xfId="0" applyFont="1" applyFill="1" applyBorder="1" applyAlignment="1">
      <alignment vertical="top" wrapText="1"/>
    </xf>
    <xf numFmtId="0" fontId="17" fillId="0" borderId="1" xfId="0" applyFont="1" applyBorder="1" applyAlignment="1">
      <alignment vertical="top" wrapText="1"/>
    </xf>
    <xf numFmtId="0" fontId="17" fillId="0" borderId="4" xfId="0" applyFont="1" applyBorder="1" applyAlignment="1">
      <alignment horizontal="left" vertical="top" wrapText="1"/>
    </xf>
    <xf numFmtId="0" fontId="17" fillId="0" borderId="1" xfId="0" applyFont="1" applyFill="1" applyBorder="1" applyAlignment="1">
      <alignment vertical="top" wrapText="1"/>
    </xf>
    <xf numFmtId="0" fontId="14" fillId="0" borderId="0" xfId="0" applyFont="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Alignment="1">
      <alignment horizontal="center" vertical="top" wrapText="1"/>
    </xf>
    <xf numFmtId="0" fontId="13" fillId="2" borderId="2" xfId="0" applyFont="1" applyFill="1" applyBorder="1" applyAlignment="1">
      <alignment horizontal="center" vertical="top" wrapText="1"/>
    </xf>
    <xf numFmtId="0" fontId="14" fillId="0" borderId="1" xfId="0" applyFont="1" applyFill="1" applyBorder="1" applyAlignment="1">
      <alignment horizontal="center" vertical="top" wrapText="1"/>
    </xf>
    <xf numFmtId="0" fontId="17" fillId="0" borderId="1" xfId="0" applyFont="1" applyBorder="1" applyAlignment="1">
      <alignment horizontal="center" vertical="top" wrapText="1"/>
    </xf>
    <xf numFmtId="0" fontId="14" fillId="0" borderId="1" xfId="0" applyFont="1" applyBorder="1" applyAlignment="1">
      <alignment horizontal="center" vertical="top" wrapText="1"/>
    </xf>
    <xf numFmtId="0" fontId="14" fillId="0" borderId="0" xfId="0" applyFont="1" applyBorder="1" applyAlignment="1">
      <alignment horizontal="center" vertical="top" wrapText="1"/>
    </xf>
    <xf numFmtId="0" fontId="3" fillId="0" borderId="0" xfId="0" applyFont="1" applyAlignment="1">
      <alignment vertical="top" wrapText="1"/>
    </xf>
    <xf numFmtId="0" fontId="18" fillId="12" borderId="0" xfId="0" applyFont="1" applyFill="1" applyAlignment="1">
      <alignment vertical="top" wrapText="1"/>
    </xf>
    <xf numFmtId="0" fontId="15" fillId="0" borderId="0" xfId="0" applyFont="1" applyAlignment="1">
      <alignment vertical="top" wrapText="1"/>
    </xf>
    <xf numFmtId="0" fontId="14" fillId="2" borderId="0" xfId="0" applyFont="1" applyFill="1" applyAlignment="1">
      <alignment horizontal="left" vertical="top" wrapText="1"/>
    </xf>
    <xf numFmtId="0" fontId="1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Fill="1" applyBorder="1" applyAlignment="1">
      <alignment vertical="top" wrapText="1"/>
    </xf>
    <xf numFmtId="0" fontId="7" fillId="2" borderId="0" xfId="0" applyFont="1" applyFill="1" applyAlignment="1">
      <alignment vertical="top" wrapText="1"/>
    </xf>
    <xf numFmtId="0" fontId="2" fillId="5" borderId="11" xfId="0" applyFont="1" applyFill="1" applyBorder="1" applyAlignment="1">
      <alignment horizontal="right" vertical="top" wrapText="1"/>
    </xf>
    <xf numFmtId="0" fontId="2" fillId="11" borderId="11" xfId="0" applyFont="1" applyFill="1" applyBorder="1" applyAlignment="1">
      <alignment horizontal="right" vertical="top" wrapText="1"/>
    </xf>
    <xf numFmtId="0" fontId="2" fillId="7" borderId="11" xfId="0" applyFont="1" applyFill="1" applyBorder="1" applyAlignment="1">
      <alignment horizontal="right" vertical="top" wrapText="1"/>
    </xf>
    <xf numFmtId="0" fontId="2" fillId="6" borderId="11" xfId="0" applyFont="1" applyFill="1" applyBorder="1" applyAlignment="1">
      <alignment horizontal="right" vertical="top" wrapText="1"/>
    </xf>
    <xf numFmtId="0" fontId="2" fillId="10" borderId="11" xfId="0" applyFont="1" applyFill="1" applyBorder="1" applyAlignment="1">
      <alignment horizontal="right" vertical="top" wrapText="1"/>
    </xf>
    <xf numFmtId="164" fontId="7" fillId="2" borderId="11" xfId="0" applyNumberFormat="1" applyFont="1" applyFill="1" applyBorder="1" applyAlignment="1">
      <alignment horizontal="left" vertical="top" wrapText="1"/>
    </xf>
    <xf numFmtId="0" fontId="2" fillId="0" borderId="0" xfId="0" applyFont="1" applyBorder="1" applyAlignment="1">
      <alignment vertical="top" wrapText="1"/>
    </xf>
    <xf numFmtId="49" fontId="7" fillId="3" borderId="0" xfId="0" applyNumberFormat="1" applyFont="1" applyFill="1" applyBorder="1" applyAlignment="1">
      <alignment horizontal="left" vertical="top" wrapText="1"/>
    </xf>
    <xf numFmtId="0" fontId="2" fillId="13" borderId="11" xfId="0" applyFont="1" applyFill="1" applyBorder="1" applyAlignment="1">
      <alignment horizontal="right" vertical="top" wrapText="1"/>
    </xf>
    <xf numFmtId="49" fontId="8" fillId="0" borderId="0" xfId="0" applyNumberFormat="1" applyFont="1" applyFill="1" applyBorder="1" applyAlignment="1">
      <alignment horizontal="left" vertical="top" wrapText="1"/>
    </xf>
    <xf numFmtId="0" fontId="5" fillId="0" borderId="0" xfId="0" applyFont="1" applyFill="1" applyBorder="1" applyAlignment="1">
      <alignment horizontal="right" vertical="top" wrapText="1"/>
    </xf>
    <xf numFmtId="0" fontId="8" fillId="0" borderId="0" xfId="0" applyFont="1" applyFill="1" applyBorder="1" applyAlignment="1">
      <alignment horizontal="center" vertical="top" wrapText="1"/>
    </xf>
    <xf numFmtId="0" fontId="2" fillId="0" borderId="0" xfId="0" applyFont="1" applyAlignment="1">
      <alignment vertical="top"/>
    </xf>
    <xf numFmtId="0" fontId="14" fillId="0" borderId="0" xfId="0" applyFont="1" applyAlignment="1">
      <alignment vertical="top"/>
    </xf>
    <xf numFmtId="164" fontId="2" fillId="0" borderId="0" xfId="0" applyNumberFormat="1" applyFont="1" applyFill="1" applyBorder="1" applyAlignment="1">
      <alignment horizontal="right" vertical="top" wrapText="1"/>
    </xf>
    <xf numFmtId="0" fontId="2" fillId="2" borderId="11" xfId="0" applyFont="1" applyFill="1" applyBorder="1" applyAlignment="1">
      <alignment horizontal="right" vertical="top" wrapText="1"/>
    </xf>
    <xf numFmtId="0" fontId="2" fillId="2" borderId="11" xfId="0" applyFont="1" applyFill="1" applyBorder="1" applyAlignment="1">
      <alignment horizontal="left" vertical="top" wrapText="1"/>
    </xf>
    <xf numFmtId="42" fontId="5" fillId="2" borderId="3" xfId="0" applyNumberFormat="1" applyFont="1" applyFill="1" applyBorder="1" applyAlignment="1">
      <alignment horizontal="right" vertical="top" wrapText="1"/>
    </xf>
    <xf numFmtId="42" fontId="2" fillId="0" borderId="3" xfId="0" applyNumberFormat="1" applyFont="1" applyFill="1" applyBorder="1" applyAlignment="1">
      <alignment horizontal="right" vertical="top" wrapText="1"/>
    </xf>
    <xf numFmtId="42" fontId="2" fillId="0" borderId="4" xfId="0" applyNumberFormat="1" applyFont="1" applyFill="1" applyBorder="1" applyAlignment="1">
      <alignment horizontal="right" vertical="top" wrapText="1"/>
    </xf>
    <xf numFmtId="0" fontId="2" fillId="13" borderId="0" xfId="0" applyFont="1" applyFill="1" applyBorder="1" applyAlignment="1">
      <alignment horizontal="right" vertical="top" wrapText="1"/>
    </xf>
    <xf numFmtId="0" fontId="2" fillId="0" borderId="29" xfId="0" applyFont="1" applyFill="1" applyBorder="1" applyAlignment="1">
      <alignment horizontal="right" vertical="top" wrapText="1"/>
    </xf>
    <xf numFmtId="0" fontId="2" fillId="0" borderId="30" xfId="0" applyFont="1" applyFill="1" applyBorder="1" applyAlignment="1">
      <alignment horizontal="right" vertical="top" wrapText="1"/>
    </xf>
    <xf numFmtId="42" fontId="2" fillId="0" borderId="29" xfId="0" applyNumberFormat="1" applyFont="1" applyFill="1" applyBorder="1" applyAlignment="1">
      <alignment horizontal="right" vertical="top" wrapText="1"/>
    </xf>
    <xf numFmtId="42" fontId="2" fillId="0" borderId="30" xfId="0" applyNumberFormat="1" applyFont="1" applyFill="1" applyBorder="1" applyAlignment="1">
      <alignment horizontal="right" vertical="top" wrapText="1"/>
    </xf>
    <xf numFmtId="42" fontId="8" fillId="0" borderId="29"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8" fillId="0" borderId="30" xfId="0" applyNumberFormat="1" applyFont="1" applyFill="1" applyBorder="1" applyAlignment="1">
      <alignment horizontal="right" vertical="top" wrapText="1"/>
    </xf>
    <xf numFmtId="0" fontId="2" fillId="0" borderId="29" xfId="0" applyNumberFormat="1" applyFont="1" applyFill="1" applyBorder="1" applyAlignment="1">
      <alignment horizontal="right" vertical="top" wrapText="1"/>
    </xf>
    <xf numFmtId="0" fontId="8" fillId="0" borderId="30" xfId="0" applyFont="1" applyFill="1" applyBorder="1" applyAlignment="1">
      <alignment horizontal="right" vertical="top" wrapText="1"/>
    </xf>
    <xf numFmtId="42" fontId="2" fillId="3" borderId="29" xfId="0" applyNumberFormat="1" applyFont="1" applyFill="1" applyBorder="1" applyAlignment="1">
      <alignment horizontal="right" vertical="top" wrapText="1"/>
    </xf>
    <xf numFmtId="0" fontId="8" fillId="0" borderId="29" xfId="0" applyNumberFormat="1" applyFont="1" applyFill="1" applyBorder="1" applyAlignment="1">
      <alignment horizontal="right" vertical="top" wrapText="1"/>
    </xf>
    <xf numFmtId="42" fontId="2" fillId="0" borderId="29" xfId="0" applyNumberFormat="1" applyFont="1" applyFill="1" applyBorder="1" applyAlignment="1">
      <alignment horizontal="left" vertical="top" wrapText="1"/>
    </xf>
    <xf numFmtId="0" fontId="2" fillId="16" borderId="0" xfId="0" applyFont="1" applyFill="1" applyAlignment="1">
      <alignment vertical="top" wrapText="1"/>
    </xf>
    <xf numFmtId="0" fontId="2" fillId="16" borderId="0" xfId="0" applyFont="1" applyFill="1" applyBorder="1" applyAlignment="1">
      <alignment vertical="top" wrapText="1"/>
    </xf>
    <xf numFmtId="42" fontId="8" fillId="15" borderId="19" xfId="0" applyNumberFormat="1" applyFont="1" applyFill="1" applyBorder="1" applyAlignment="1">
      <alignment horizontal="center" vertical="top" wrapText="1"/>
    </xf>
    <xf numFmtId="42" fontId="8" fillId="15" borderId="30" xfId="0" applyNumberFormat="1" applyFont="1" applyFill="1" applyBorder="1" applyAlignment="1">
      <alignment horizontal="center" vertical="top" wrapText="1"/>
    </xf>
    <xf numFmtId="42" fontId="8" fillId="14" borderId="19" xfId="0" applyNumberFormat="1" applyFont="1" applyFill="1" applyBorder="1" applyAlignment="1">
      <alignment horizontal="center" vertical="top" wrapText="1"/>
    </xf>
    <xf numFmtId="42" fontId="8" fillId="14" borderId="30" xfId="0" applyNumberFormat="1" applyFont="1" applyFill="1" applyBorder="1" applyAlignment="1">
      <alignment horizontal="center" vertical="top" wrapText="1"/>
    </xf>
    <xf numFmtId="0" fontId="14" fillId="0" borderId="28" xfId="0" applyFont="1" applyBorder="1" applyAlignment="1">
      <alignment horizontal="left" vertical="top" wrapText="1"/>
    </xf>
    <xf numFmtId="42" fontId="14" fillId="0" borderId="1" xfId="0" applyNumberFormat="1" applyFont="1" applyFill="1" applyBorder="1" applyAlignment="1">
      <alignment horizontal="left" vertical="top" wrapText="1"/>
    </xf>
    <xf numFmtId="42" fontId="17" fillId="0" borderId="1" xfId="0" applyNumberFormat="1" applyFont="1" applyFill="1" applyBorder="1" applyAlignment="1">
      <alignment horizontal="left" vertical="top" wrapText="1"/>
    </xf>
    <xf numFmtId="42" fontId="14" fillId="0" borderId="2" xfId="0" applyNumberFormat="1" applyFont="1" applyFill="1" applyBorder="1" applyAlignment="1">
      <alignment horizontal="left" vertical="top" wrapText="1"/>
    </xf>
    <xf numFmtId="42" fontId="14" fillId="0" borderId="2" xfId="0" applyNumberFormat="1" applyFont="1" applyBorder="1" applyAlignment="1">
      <alignment horizontal="left" vertical="top" wrapText="1"/>
    </xf>
    <xf numFmtId="42" fontId="17" fillId="0" borderId="2" xfId="0" applyNumberFormat="1" applyFont="1" applyBorder="1" applyAlignment="1">
      <alignment horizontal="left" vertical="top" wrapText="1"/>
    </xf>
    <xf numFmtId="42" fontId="17" fillId="0" borderId="1" xfId="0" applyNumberFormat="1" applyFont="1" applyBorder="1" applyAlignment="1">
      <alignment horizontal="left" vertical="top" wrapText="1"/>
    </xf>
    <xf numFmtId="42" fontId="17" fillId="0" borderId="1" xfId="1" applyNumberFormat="1" applyFont="1" applyBorder="1" applyAlignment="1">
      <alignment horizontal="left" vertical="top" wrapText="1"/>
    </xf>
    <xf numFmtId="0" fontId="14" fillId="0" borderId="13" xfId="0" applyFont="1" applyBorder="1" applyAlignment="1">
      <alignment horizontal="right" vertical="top" wrapText="1"/>
    </xf>
    <xf numFmtId="0" fontId="14" fillId="0" borderId="9" xfId="0" applyFont="1" applyBorder="1" applyAlignment="1">
      <alignment horizontal="right" vertical="top" wrapText="1"/>
    </xf>
    <xf numFmtId="0" fontId="17" fillId="0" borderId="41" xfId="0" applyFont="1" applyBorder="1" applyAlignment="1">
      <alignment vertical="top" wrapText="1"/>
    </xf>
    <xf numFmtId="0" fontId="17" fillId="0" borderId="7" xfId="0" applyFont="1" applyBorder="1" applyAlignment="1">
      <alignment horizontal="left" vertical="top" wrapText="1"/>
    </xf>
    <xf numFmtId="42" fontId="17" fillId="0" borderId="41" xfId="0" applyNumberFormat="1" applyFont="1" applyBorder="1" applyAlignment="1">
      <alignment horizontal="left" vertical="top" wrapText="1"/>
    </xf>
    <xf numFmtId="42" fontId="17" fillId="0" borderId="7" xfId="0" applyNumberFormat="1" applyFont="1" applyBorder="1" applyAlignment="1">
      <alignment horizontal="left" vertical="top" wrapText="1"/>
    </xf>
    <xf numFmtId="0" fontId="17" fillId="0" borderId="28" xfId="0" applyFont="1" applyBorder="1" applyAlignment="1">
      <alignment horizontal="left" vertical="top" wrapText="1"/>
    </xf>
    <xf numFmtId="0" fontId="17" fillId="0" borderId="41" xfId="0" applyFont="1" applyBorder="1" applyAlignment="1">
      <alignment horizontal="left" vertical="top" wrapText="1"/>
    </xf>
    <xf numFmtId="0" fontId="17" fillId="0" borderId="41" xfId="0" applyFont="1" applyBorder="1" applyAlignment="1">
      <alignment horizontal="center" vertical="top" wrapText="1"/>
    </xf>
    <xf numFmtId="0" fontId="14" fillId="0" borderId="7" xfId="0" applyFont="1" applyBorder="1" applyAlignment="1">
      <alignment horizontal="left" vertical="top" wrapText="1"/>
    </xf>
    <xf numFmtId="42" fontId="14" fillId="0" borderId="41" xfId="0" applyNumberFormat="1" applyFont="1" applyBorder="1" applyAlignment="1">
      <alignment horizontal="left" vertical="top" wrapText="1"/>
    </xf>
    <xf numFmtId="42" fontId="14" fillId="0" borderId="7" xfId="0" applyNumberFormat="1" applyFont="1" applyBorder="1" applyAlignment="1">
      <alignment horizontal="left" vertical="top" wrapText="1"/>
    </xf>
    <xf numFmtId="0" fontId="14" fillId="0" borderId="41" xfId="0" applyFont="1" applyBorder="1" applyAlignment="1">
      <alignment horizontal="left" vertical="top" wrapText="1"/>
    </xf>
    <xf numFmtId="0" fontId="14" fillId="0" borderId="41" xfId="0" applyFont="1" applyBorder="1" applyAlignment="1">
      <alignment horizontal="center" vertical="top" wrapText="1"/>
    </xf>
    <xf numFmtId="0" fontId="17" fillId="0" borderId="27" xfId="0" applyFont="1" applyBorder="1" applyAlignment="1">
      <alignment vertical="top" wrapText="1"/>
    </xf>
    <xf numFmtId="0" fontId="17" fillId="0" borderId="26" xfId="0" applyFont="1" applyBorder="1" applyAlignment="1">
      <alignment horizontal="left" vertical="top" wrapText="1"/>
    </xf>
    <xf numFmtId="42" fontId="17" fillId="0" borderId="27" xfId="0" applyNumberFormat="1" applyFont="1" applyBorder="1" applyAlignment="1">
      <alignment horizontal="left" vertical="top" wrapText="1"/>
    </xf>
    <xf numFmtId="42" fontId="17" fillId="0" borderId="26" xfId="0" applyNumberFormat="1" applyFont="1" applyBorder="1" applyAlignment="1">
      <alignment horizontal="left" vertical="top" wrapText="1"/>
    </xf>
    <xf numFmtId="0" fontId="17" fillId="0" borderId="30" xfId="0" applyFont="1" applyBorder="1" applyAlignment="1">
      <alignment horizontal="left" vertical="top" wrapText="1"/>
    </xf>
    <xf numFmtId="0" fontId="17" fillId="0" borderId="27" xfId="0" applyFont="1" applyBorder="1" applyAlignment="1">
      <alignment horizontal="left" vertical="top" wrapText="1"/>
    </xf>
    <xf numFmtId="0" fontId="17" fillId="0" borderId="27" xfId="0" applyFont="1" applyBorder="1" applyAlignment="1">
      <alignment horizontal="center" vertical="top" wrapText="1"/>
    </xf>
    <xf numFmtId="0" fontId="14" fillId="0" borderId="27" xfId="0" applyFont="1" applyFill="1" applyBorder="1" applyAlignment="1">
      <alignment vertical="top" wrapText="1"/>
    </xf>
    <xf numFmtId="42" fontId="17" fillId="0" borderId="27" xfId="1" applyNumberFormat="1" applyFont="1" applyBorder="1" applyAlignment="1">
      <alignment horizontal="left" vertical="top" wrapText="1"/>
    </xf>
    <xf numFmtId="0" fontId="14" fillId="0" borderId="26" xfId="0" applyFont="1" applyBorder="1" applyAlignment="1">
      <alignment horizontal="left" vertical="top" wrapText="1"/>
    </xf>
    <xf numFmtId="42" fontId="14" fillId="0" borderId="27" xfId="0" applyNumberFormat="1" applyFont="1" applyBorder="1" applyAlignment="1">
      <alignment horizontal="left" vertical="top" wrapText="1"/>
    </xf>
    <xf numFmtId="42" fontId="14" fillId="0" borderId="26" xfId="0" applyNumberFormat="1" applyFont="1" applyBorder="1" applyAlignment="1">
      <alignment horizontal="left" vertical="top" wrapText="1"/>
    </xf>
    <xf numFmtId="0" fontId="14" fillId="0" borderId="30" xfId="0" applyFont="1" applyBorder="1" applyAlignment="1">
      <alignment horizontal="left" vertical="top" wrapText="1"/>
    </xf>
    <xf numFmtId="0" fontId="14" fillId="0" borderId="27" xfId="0" applyFont="1" applyBorder="1" applyAlignment="1">
      <alignment horizontal="left" vertical="top" wrapText="1"/>
    </xf>
    <xf numFmtId="0" fontId="14" fillId="0" borderId="27" xfId="0" applyFont="1" applyBorder="1" applyAlignment="1">
      <alignment horizontal="center" vertical="top" wrapText="1"/>
    </xf>
    <xf numFmtId="0" fontId="14" fillId="0" borderId="5" xfId="0" applyFont="1" applyBorder="1" applyAlignment="1">
      <alignment horizontal="left" vertical="top" wrapText="1"/>
    </xf>
    <xf numFmtId="0" fontId="17" fillId="0" borderId="43" xfId="0" applyFont="1" applyBorder="1" applyAlignment="1">
      <alignment vertical="top" wrapText="1"/>
    </xf>
    <xf numFmtId="0" fontId="14" fillId="0" borderId="24" xfId="0" applyFont="1" applyBorder="1" applyAlignment="1">
      <alignment horizontal="left" vertical="top" wrapText="1"/>
    </xf>
    <xf numFmtId="42" fontId="14" fillId="0" borderId="43" xfId="0" applyNumberFormat="1" applyFont="1" applyBorder="1" applyAlignment="1">
      <alignment horizontal="left" vertical="top" wrapText="1"/>
    </xf>
    <xf numFmtId="42" fontId="14" fillId="0" borderId="24" xfId="0" applyNumberFormat="1" applyFont="1" applyBorder="1" applyAlignment="1">
      <alignment horizontal="left" vertical="top" wrapText="1"/>
    </xf>
    <xf numFmtId="0" fontId="14" fillId="0" borderId="29" xfId="0" applyFont="1" applyBorder="1" applyAlignment="1">
      <alignment horizontal="left" vertical="top" wrapText="1"/>
    </xf>
    <xf numFmtId="0" fontId="14" fillId="0" borderId="43" xfId="0" applyFont="1" applyBorder="1" applyAlignment="1">
      <alignment horizontal="left" vertical="top" wrapText="1"/>
    </xf>
    <xf numFmtId="0" fontId="14" fillId="0" borderId="43" xfId="0" applyFont="1" applyBorder="1" applyAlignment="1">
      <alignment horizontal="center" vertical="top" wrapText="1"/>
    </xf>
    <xf numFmtId="0" fontId="14" fillId="0" borderId="41" xfId="0" applyFont="1" applyFill="1" applyBorder="1" applyAlignment="1">
      <alignment vertical="top" wrapText="1"/>
    </xf>
    <xf numFmtId="0" fontId="14" fillId="0" borderId="7" xfId="0" applyFont="1" applyFill="1" applyBorder="1" applyAlignment="1">
      <alignment horizontal="left" vertical="top" wrapText="1"/>
    </xf>
    <xf numFmtId="42" fontId="14" fillId="0" borderId="41" xfId="0" applyNumberFormat="1" applyFont="1" applyFill="1" applyBorder="1" applyAlignment="1">
      <alignment horizontal="left" vertical="top" wrapText="1"/>
    </xf>
    <xf numFmtId="0" fontId="14" fillId="0" borderId="28" xfId="0" applyFont="1" applyFill="1" applyBorder="1" applyAlignment="1">
      <alignment horizontal="left" vertical="top" wrapText="1"/>
    </xf>
    <xf numFmtId="0" fontId="14" fillId="0" borderId="41" xfId="0" applyFont="1" applyFill="1" applyBorder="1" applyAlignment="1">
      <alignment horizontal="left" vertical="top" wrapText="1"/>
    </xf>
    <xf numFmtId="0" fontId="14" fillId="0" borderId="41" xfId="0" applyFont="1" applyFill="1" applyBorder="1" applyAlignment="1">
      <alignment horizontal="center" vertical="top" wrapText="1"/>
    </xf>
    <xf numFmtId="42" fontId="14" fillId="0" borderId="7" xfId="0" applyNumberFormat="1" applyFont="1" applyFill="1" applyBorder="1" applyAlignment="1">
      <alignment horizontal="left" vertical="top" wrapText="1"/>
    </xf>
    <xf numFmtId="0" fontId="14" fillId="0" borderId="41" xfId="0" applyFont="1" applyBorder="1" applyAlignment="1">
      <alignment vertical="top" wrapText="1"/>
    </xf>
    <xf numFmtId="42" fontId="14" fillId="0" borderId="41" xfId="0" applyNumberFormat="1" applyFont="1" applyBorder="1" applyAlignment="1">
      <alignment vertical="top" wrapText="1"/>
    </xf>
    <xf numFmtId="42" fontId="14" fillId="0" borderId="7" xfId="0" applyNumberFormat="1" applyFont="1" applyBorder="1" applyAlignment="1">
      <alignment vertical="top" wrapText="1"/>
    </xf>
    <xf numFmtId="0" fontId="14" fillId="0" borderId="26" xfId="0" applyFont="1" applyFill="1" applyBorder="1" applyAlignment="1">
      <alignment horizontal="left" vertical="top" wrapText="1"/>
    </xf>
    <xf numFmtId="42" fontId="14" fillId="0" borderId="27" xfId="0" applyNumberFormat="1" applyFont="1" applyFill="1" applyBorder="1" applyAlignment="1">
      <alignment horizontal="left" vertical="top" wrapText="1"/>
    </xf>
    <xf numFmtId="42" fontId="14" fillId="0" borderId="26" xfId="0" applyNumberFormat="1" applyFont="1" applyFill="1" applyBorder="1" applyAlignment="1">
      <alignment horizontal="left" vertical="top" wrapText="1"/>
    </xf>
    <xf numFmtId="0" fontId="14" fillId="0" borderId="30" xfId="0" applyFont="1" applyFill="1" applyBorder="1" applyAlignment="1">
      <alignment horizontal="left" vertical="top" wrapText="1"/>
    </xf>
    <xf numFmtId="0" fontId="14" fillId="0" borderId="27" xfId="0" applyFont="1" applyFill="1" applyBorder="1" applyAlignment="1">
      <alignment horizontal="left" vertical="top" wrapText="1"/>
    </xf>
    <xf numFmtId="0" fontId="14" fillId="0" borderId="27" xfId="0" applyFont="1" applyFill="1" applyBorder="1" applyAlignment="1">
      <alignment horizontal="center" vertical="top" wrapText="1"/>
    </xf>
    <xf numFmtId="0" fontId="14" fillId="0" borderId="27" xfId="0" applyFont="1" applyBorder="1" applyAlignment="1">
      <alignment vertical="top" wrapText="1"/>
    </xf>
    <xf numFmtId="42" fontId="14" fillId="0" borderId="27" xfId="0" applyNumberFormat="1" applyFont="1" applyBorder="1" applyAlignment="1">
      <alignment vertical="top" wrapText="1"/>
    </xf>
    <xf numFmtId="42" fontId="14" fillId="0" borderId="26" xfId="0" applyNumberFormat="1" applyFont="1" applyBorder="1" applyAlignment="1">
      <alignment vertical="top" wrapText="1"/>
    </xf>
    <xf numFmtId="42" fontId="17" fillId="0" borderId="41" xfId="0" applyNumberFormat="1" applyFont="1" applyFill="1" applyBorder="1" applyAlignment="1">
      <alignment horizontal="left" vertical="top" wrapText="1"/>
    </xf>
    <xf numFmtId="42" fontId="17" fillId="0" borderId="7" xfId="0" applyNumberFormat="1" applyFont="1" applyFill="1" applyBorder="1" applyAlignment="1">
      <alignment horizontal="left" vertical="top" wrapText="1"/>
    </xf>
    <xf numFmtId="0" fontId="17" fillId="0" borderId="28" xfId="0" applyFont="1" applyFill="1" applyBorder="1" applyAlignment="1">
      <alignment horizontal="left" vertical="top" wrapText="1"/>
    </xf>
    <xf numFmtId="42" fontId="17" fillId="0" borderId="41" xfId="0" applyNumberFormat="1" applyFont="1" applyFill="1" applyBorder="1" applyAlignment="1">
      <alignment horizontal="center" vertical="top" wrapText="1"/>
    </xf>
    <xf numFmtId="42" fontId="17" fillId="0" borderId="7" xfId="0" applyNumberFormat="1" applyFont="1" applyFill="1" applyBorder="1" applyAlignment="1">
      <alignment horizontal="center" vertical="top" wrapText="1"/>
    </xf>
    <xf numFmtId="42" fontId="17" fillId="0" borderId="27" xfId="0" applyNumberFormat="1" applyFont="1" applyFill="1" applyBorder="1" applyAlignment="1">
      <alignment horizontal="left" vertical="top" wrapText="1"/>
    </xf>
    <xf numFmtId="0" fontId="17" fillId="0" borderId="30" xfId="0" applyFont="1" applyFill="1" applyBorder="1" applyAlignment="1">
      <alignment horizontal="left" vertical="top" wrapText="1"/>
    </xf>
    <xf numFmtId="42" fontId="17" fillId="0" borderId="26" xfId="0" applyNumberFormat="1" applyFont="1" applyFill="1" applyBorder="1" applyAlignment="1">
      <alignment horizontal="left" vertical="top" wrapText="1"/>
    </xf>
    <xf numFmtId="42" fontId="17" fillId="0" borderId="27" xfId="0" applyNumberFormat="1" applyFont="1" applyFill="1" applyBorder="1" applyAlignment="1">
      <alignment horizontal="center" vertical="top" wrapText="1"/>
    </xf>
    <xf numFmtId="42" fontId="17" fillId="0" borderId="26" xfId="0" applyNumberFormat="1" applyFont="1" applyFill="1" applyBorder="1" applyAlignment="1">
      <alignment horizontal="center" vertical="top" wrapText="1"/>
    </xf>
    <xf numFmtId="0" fontId="14" fillId="0" borderId="43" xfId="0" applyFont="1" applyFill="1" applyBorder="1" applyAlignment="1">
      <alignment vertical="top" wrapText="1"/>
    </xf>
    <xf numFmtId="0" fontId="14" fillId="0" borderId="24" xfId="0" applyFont="1" applyFill="1" applyBorder="1" applyAlignment="1">
      <alignment horizontal="left" vertical="top" wrapText="1"/>
    </xf>
    <xf numFmtId="42" fontId="14" fillId="0" borderId="43" xfId="0" applyNumberFormat="1" applyFont="1" applyFill="1" applyBorder="1" applyAlignment="1">
      <alignment horizontal="left" vertical="top" wrapText="1"/>
    </xf>
    <xf numFmtId="42" fontId="14" fillId="0" borderId="24" xfId="0" applyNumberFormat="1" applyFont="1" applyFill="1" applyBorder="1" applyAlignment="1">
      <alignment horizontal="left" vertical="top" wrapText="1"/>
    </xf>
    <xf numFmtId="0" fontId="14" fillId="0" borderId="43" xfId="0" applyFont="1" applyFill="1" applyBorder="1" applyAlignment="1">
      <alignment horizontal="left" vertical="top" wrapText="1"/>
    </xf>
    <xf numFmtId="0" fontId="14" fillId="0" borderId="43" xfId="0" applyFont="1" applyFill="1" applyBorder="1" applyAlignment="1">
      <alignment horizontal="center" vertical="top" wrapText="1"/>
    </xf>
    <xf numFmtId="0" fontId="14" fillId="0" borderId="0" xfId="0" applyFont="1" applyAlignment="1">
      <alignment horizontal="right" vertical="top" wrapText="1"/>
    </xf>
    <xf numFmtId="0" fontId="14" fillId="0" borderId="0" xfId="0" applyFont="1" applyFill="1" applyBorder="1" applyAlignment="1">
      <alignment horizontal="right" vertical="top" wrapText="1"/>
    </xf>
    <xf numFmtId="0" fontId="14" fillId="0" borderId="0" xfId="0" applyFont="1" applyFill="1" applyAlignment="1">
      <alignment horizontal="right" vertical="top" wrapText="1"/>
    </xf>
    <xf numFmtId="0" fontId="14" fillId="0" borderId="0" xfId="0" applyFont="1" applyBorder="1" applyAlignment="1">
      <alignment horizontal="right" vertical="top" wrapText="1"/>
    </xf>
    <xf numFmtId="0" fontId="13" fillId="2" borderId="35" xfId="0" applyFont="1" applyFill="1" applyBorder="1" applyAlignment="1">
      <alignment horizontal="right" vertical="top" wrapText="1"/>
    </xf>
    <xf numFmtId="0" fontId="14" fillId="0" borderId="35" xfId="0" applyFont="1" applyFill="1" applyBorder="1" applyAlignment="1">
      <alignment horizontal="right" vertical="top" wrapText="1"/>
    </xf>
    <xf numFmtId="0" fontId="14" fillId="0" borderId="6" xfId="0" applyFont="1" applyFill="1" applyBorder="1" applyAlignment="1">
      <alignment horizontal="right" vertical="top" wrapText="1"/>
    </xf>
    <xf numFmtId="0" fontId="14" fillId="0" borderId="42" xfId="0" applyFont="1" applyFill="1" applyBorder="1" applyAlignment="1">
      <alignment horizontal="right" vertical="top" wrapText="1"/>
    </xf>
    <xf numFmtId="0" fontId="14" fillId="0" borderId="44" xfId="0" applyFont="1" applyFill="1" applyBorder="1" applyAlignment="1">
      <alignment horizontal="right" vertical="top" wrapText="1"/>
    </xf>
    <xf numFmtId="0" fontId="17" fillId="0" borderId="35" xfId="0" applyFont="1" applyFill="1" applyBorder="1" applyAlignment="1">
      <alignment horizontal="right" vertical="top" wrapText="1"/>
    </xf>
    <xf numFmtId="0" fontId="17" fillId="0" borderId="42" xfId="0" applyFont="1" applyFill="1" applyBorder="1" applyAlignment="1">
      <alignment horizontal="right" vertical="top" wrapText="1"/>
    </xf>
    <xf numFmtId="0" fontId="17" fillId="0" borderId="6" xfId="0" applyFont="1" applyFill="1" applyBorder="1" applyAlignment="1">
      <alignment horizontal="right" vertical="top" wrapText="1"/>
    </xf>
    <xf numFmtId="0" fontId="14" fillId="0" borderId="21" xfId="0" applyFont="1" applyFill="1" applyBorder="1" applyAlignment="1">
      <alignment horizontal="right" vertical="top" wrapText="1"/>
    </xf>
    <xf numFmtId="0" fontId="14" fillId="0" borderId="37" xfId="0" applyFont="1" applyFill="1" applyBorder="1" applyAlignment="1">
      <alignment horizontal="right" vertical="top" wrapText="1"/>
    </xf>
    <xf numFmtId="0" fontId="14" fillId="0" borderId="20" xfId="0" applyFont="1" applyFill="1" applyBorder="1" applyAlignment="1">
      <alignment horizontal="right" vertical="top" wrapText="1"/>
    </xf>
    <xf numFmtId="0" fontId="14" fillId="0" borderId="21" xfId="0" applyFont="1" applyBorder="1" applyAlignment="1">
      <alignment horizontal="right" vertical="top" wrapText="1"/>
    </xf>
    <xf numFmtId="0" fontId="14" fillId="0" borderId="37" xfId="0" applyFont="1" applyBorder="1" applyAlignment="1">
      <alignment horizontal="right" vertical="top" wrapText="1"/>
    </xf>
    <xf numFmtId="0" fontId="14" fillId="0" borderId="20" xfId="0" applyFont="1" applyBorder="1" applyAlignment="1">
      <alignment horizontal="right" vertical="top" wrapText="1"/>
    </xf>
    <xf numFmtId="0" fontId="17" fillId="0" borderId="21" xfId="0" applyFont="1" applyFill="1" applyBorder="1" applyAlignment="1">
      <alignment horizontal="right" vertical="top" wrapText="1"/>
    </xf>
    <xf numFmtId="0" fontId="17" fillId="0" borderId="37" xfId="0" applyFont="1" applyFill="1" applyBorder="1" applyAlignment="1">
      <alignment horizontal="right" vertical="top" wrapText="1"/>
    </xf>
    <xf numFmtId="0" fontId="17" fillId="0" borderId="20" xfId="0" applyFont="1" applyFill="1" applyBorder="1" applyAlignment="1">
      <alignment horizontal="right" vertical="top" wrapText="1"/>
    </xf>
    <xf numFmtId="0" fontId="14" fillId="0" borderId="18" xfId="0" applyFont="1" applyBorder="1" applyAlignment="1">
      <alignment horizontal="right" vertical="top" wrapText="1"/>
    </xf>
    <xf numFmtId="0" fontId="14" fillId="0" borderId="3" xfId="0" applyFont="1" applyBorder="1" applyAlignment="1">
      <alignment horizontal="right" vertical="top" wrapText="1"/>
    </xf>
    <xf numFmtId="10" fontId="14" fillId="0" borderId="0" xfId="0" applyNumberFormat="1" applyFont="1" applyAlignment="1">
      <alignment horizontal="right" vertical="top" wrapText="1"/>
    </xf>
    <xf numFmtId="10" fontId="13" fillId="0" borderId="0" xfId="0" applyNumberFormat="1" applyFont="1" applyFill="1" applyBorder="1" applyAlignment="1">
      <alignment horizontal="right" vertical="top" wrapText="1"/>
    </xf>
    <xf numFmtId="42" fontId="14" fillId="0" borderId="25" xfId="0" applyNumberFormat="1" applyFont="1" applyBorder="1" applyAlignment="1">
      <alignment horizontal="right" vertical="top" wrapText="1"/>
    </xf>
    <xf numFmtId="42" fontId="14" fillId="0" borderId="38" xfId="0" applyNumberFormat="1" applyFont="1" applyBorder="1" applyAlignment="1">
      <alignment horizontal="right" vertical="top" wrapText="1"/>
    </xf>
    <xf numFmtId="10" fontId="14" fillId="0" borderId="0" xfId="0" applyNumberFormat="1" applyFont="1" applyBorder="1" applyAlignment="1">
      <alignment horizontal="right" vertical="top" wrapText="1"/>
    </xf>
    <xf numFmtId="10" fontId="14" fillId="0" borderId="19" xfId="0" applyNumberFormat="1" applyFont="1" applyFill="1" applyBorder="1" applyAlignment="1">
      <alignment horizontal="right" vertical="top" wrapText="1"/>
    </xf>
    <xf numFmtId="10" fontId="14" fillId="0" borderId="3" xfId="0" applyNumberFormat="1" applyFont="1" applyFill="1" applyBorder="1" applyAlignment="1">
      <alignment horizontal="right" vertical="top" wrapText="1"/>
    </xf>
    <xf numFmtId="10" fontId="14" fillId="0" borderId="5" xfId="0" applyNumberFormat="1" applyFont="1" applyFill="1" applyBorder="1" applyAlignment="1">
      <alignment horizontal="right" vertical="top" wrapText="1"/>
    </xf>
    <xf numFmtId="10" fontId="14" fillId="0" borderId="0" xfId="0" applyNumberFormat="1" applyFont="1" applyFill="1" applyBorder="1" applyAlignment="1">
      <alignment horizontal="right" vertical="top" wrapText="1"/>
    </xf>
    <xf numFmtId="10" fontId="17" fillId="0" borderId="3" xfId="0" applyNumberFormat="1" applyFont="1" applyBorder="1" applyAlignment="1">
      <alignment horizontal="right" vertical="top" wrapText="1"/>
    </xf>
    <xf numFmtId="10" fontId="14" fillId="0" borderId="3" xfId="0" applyNumberFormat="1" applyFont="1" applyBorder="1" applyAlignment="1">
      <alignment horizontal="right" vertical="top" wrapText="1"/>
    </xf>
    <xf numFmtId="0" fontId="13" fillId="0" borderId="0" xfId="0" applyFont="1" applyBorder="1" applyAlignment="1">
      <alignment horizontal="right" vertical="top" wrapText="1"/>
    </xf>
    <xf numFmtId="0" fontId="13" fillId="2" borderId="27" xfId="0" applyFont="1" applyFill="1" applyBorder="1" applyAlignment="1">
      <alignment horizontal="right" vertical="top" wrapText="1"/>
    </xf>
    <xf numFmtId="0" fontId="14" fillId="0" borderId="35" xfId="0" applyFont="1" applyBorder="1" applyAlignment="1">
      <alignment horizontal="right" vertical="top" wrapText="1"/>
    </xf>
    <xf numFmtId="0" fontId="14" fillId="0" borderId="6" xfId="0" applyFont="1" applyBorder="1" applyAlignment="1">
      <alignment horizontal="right" vertical="top" wrapText="1"/>
    </xf>
    <xf numFmtId="0" fontId="14" fillId="0" borderId="42" xfId="0" applyFont="1" applyBorder="1" applyAlignment="1">
      <alignment horizontal="right" vertical="top" wrapText="1"/>
    </xf>
    <xf numFmtId="0" fontId="14" fillId="0" borderId="44" xfId="0" applyFont="1" applyBorder="1" applyAlignment="1">
      <alignment horizontal="right" vertical="top" wrapText="1"/>
    </xf>
    <xf numFmtId="49" fontId="14" fillId="0" borderId="0" xfId="0" applyNumberFormat="1" applyFont="1" applyBorder="1" applyAlignment="1">
      <alignment horizontal="right" vertical="top" wrapText="1"/>
    </xf>
    <xf numFmtId="42" fontId="14" fillId="0" borderId="9" xfId="0" applyNumberFormat="1" applyFont="1" applyBorder="1" applyAlignment="1">
      <alignment horizontal="right" vertical="top" wrapText="1"/>
    </xf>
    <xf numFmtId="42" fontId="14" fillId="0" borderId="12" xfId="0" applyNumberFormat="1" applyFont="1" applyBorder="1" applyAlignment="1">
      <alignment horizontal="right" vertical="top" wrapText="1"/>
    </xf>
    <xf numFmtId="42" fontId="14" fillId="0" borderId="0" xfId="0" applyNumberFormat="1" applyFont="1" applyBorder="1" applyAlignment="1">
      <alignment horizontal="right" vertical="top" wrapText="1"/>
    </xf>
    <xf numFmtId="10" fontId="13" fillId="2" borderId="13" xfId="0" applyNumberFormat="1" applyFont="1" applyFill="1" applyBorder="1" applyAlignment="1">
      <alignment horizontal="right" vertical="top" wrapText="1"/>
    </xf>
    <xf numFmtId="10" fontId="13" fillId="2" borderId="45" xfId="0" applyNumberFormat="1" applyFont="1" applyFill="1" applyBorder="1" applyAlignment="1">
      <alignment horizontal="right" vertical="top" wrapText="1"/>
    </xf>
    <xf numFmtId="10" fontId="14" fillId="0" borderId="9" xfId="0" applyNumberFormat="1" applyFont="1" applyFill="1" applyBorder="1" applyAlignment="1">
      <alignment horizontal="right" vertical="top" wrapText="1"/>
    </xf>
    <xf numFmtId="0" fontId="14" fillId="0" borderId="29" xfId="0" applyFont="1" applyFill="1" applyBorder="1" applyAlignment="1">
      <alignment horizontal="left" vertical="top" wrapText="1"/>
    </xf>
    <xf numFmtId="0" fontId="22" fillId="0" borderId="30" xfId="0" applyFont="1" applyBorder="1" applyAlignment="1">
      <alignment horizontal="left" vertical="top" wrapText="1"/>
    </xf>
    <xf numFmtId="42" fontId="17" fillId="0" borderId="9" xfId="0" applyNumberFormat="1" applyFont="1" applyBorder="1" applyAlignment="1">
      <alignment horizontal="right" vertical="top" wrapText="1"/>
    </xf>
    <xf numFmtId="0" fontId="14" fillId="0" borderId="9" xfId="0" applyFont="1" applyFill="1" applyBorder="1" applyAlignment="1">
      <alignment horizontal="right" vertical="top" wrapText="1"/>
    </xf>
    <xf numFmtId="0" fontId="14" fillId="0" borderId="10" xfId="0" applyFont="1" applyFill="1" applyBorder="1" applyAlignment="1">
      <alignment horizontal="right" vertical="top" wrapText="1"/>
    </xf>
    <xf numFmtId="42" fontId="14" fillId="0" borderId="46" xfId="0" applyNumberFormat="1" applyFont="1" applyBorder="1" applyAlignment="1">
      <alignment vertical="top" wrapText="1"/>
    </xf>
    <xf numFmtId="10" fontId="14" fillId="0" borderId="38" xfId="0" applyNumberFormat="1" applyFont="1" applyFill="1" applyBorder="1" applyAlignment="1">
      <alignment horizontal="right" vertical="top" wrapText="1"/>
    </xf>
    <xf numFmtId="0" fontId="14" fillId="0" borderId="31" xfId="0" applyFont="1" applyFill="1" applyBorder="1" applyAlignment="1">
      <alignment horizontal="left" vertical="top" wrapText="1"/>
    </xf>
    <xf numFmtId="0" fontId="14" fillId="0" borderId="12" xfId="0" applyFont="1" applyFill="1" applyBorder="1" applyAlignment="1">
      <alignment horizontal="right" vertical="top" wrapText="1"/>
    </xf>
    <xf numFmtId="0" fontId="20" fillId="0" borderId="0" xfId="0" applyFont="1" applyBorder="1" applyAlignment="1">
      <alignment vertical="top" wrapText="1"/>
    </xf>
    <xf numFmtId="0" fontId="13" fillId="0" borderId="1" xfId="0" applyFont="1" applyBorder="1" applyAlignment="1">
      <alignment vertical="top" wrapText="1"/>
    </xf>
    <xf numFmtId="0" fontId="13" fillId="2" borderId="26" xfId="0" applyFont="1" applyFill="1" applyBorder="1" applyAlignment="1">
      <alignment horizontal="right" vertical="top" wrapText="1"/>
    </xf>
    <xf numFmtId="164" fontId="2" fillId="2" borderId="11" xfId="0" applyNumberFormat="1" applyFont="1" applyFill="1" applyBorder="1" applyAlignment="1">
      <alignment horizontal="right" vertical="top" wrapText="1"/>
    </xf>
    <xf numFmtId="164" fontId="8" fillId="2" borderId="11" xfId="0" applyNumberFormat="1" applyFont="1" applyFill="1" applyBorder="1" applyAlignment="1">
      <alignment horizontal="right" vertical="top" wrapText="1"/>
    </xf>
    <xf numFmtId="164" fontId="8" fillId="2" borderId="11" xfId="0" applyNumberFormat="1" applyFont="1" applyFill="1" applyBorder="1" applyAlignment="1">
      <alignment horizontal="left" vertical="top" wrapText="1"/>
    </xf>
    <xf numFmtId="42" fontId="8" fillId="2" borderId="11" xfId="0" applyNumberFormat="1" applyFont="1" applyFill="1" applyBorder="1" applyAlignment="1">
      <alignment horizontal="right" vertical="top" wrapText="1"/>
    </xf>
    <xf numFmtId="164" fontId="2" fillId="2" borderId="11" xfId="0" applyNumberFormat="1" applyFont="1" applyFill="1" applyBorder="1" applyAlignment="1">
      <alignment horizontal="left" vertical="top" wrapText="1"/>
    </xf>
    <xf numFmtId="0" fontId="24" fillId="4" borderId="0" xfId="0" applyFont="1" applyFill="1" applyBorder="1" applyAlignment="1">
      <alignment horizontal="left" vertical="top" wrapText="1"/>
    </xf>
    <xf numFmtId="0" fontId="25" fillId="4" borderId="0" xfId="0" applyFont="1" applyFill="1" applyBorder="1" applyAlignment="1">
      <alignment horizontal="center" vertical="top" wrapText="1"/>
    </xf>
    <xf numFmtId="0" fontId="8" fillId="0" borderId="0" xfId="0" applyFont="1" applyFill="1" applyBorder="1" applyAlignment="1">
      <alignment vertical="top" wrapText="1"/>
    </xf>
    <xf numFmtId="42" fontId="8" fillId="2" borderId="47" xfId="0" applyNumberFormat="1" applyFont="1" applyFill="1" applyBorder="1" applyAlignment="1">
      <alignment horizontal="right" vertical="top" wrapText="1"/>
    </xf>
    <xf numFmtId="42" fontId="8" fillId="2" borderId="34" xfId="0" applyNumberFormat="1" applyFont="1" applyFill="1" applyBorder="1" applyAlignment="1">
      <alignment horizontal="right" vertical="top" wrapText="1"/>
    </xf>
    <xf numFmtId="0" fontId="8" fillId="0" borderId="39" xfId="0" applyNumberFormat="1" applyFont="1" applyFill="1" applyBorder="1" applyAlignment="1">
      <alignment horizontal="right" vertical="top" wrapText="1"/>
    </xf>
    <xf numFmtId="42" fontId="8" fillId="0" borderId="40" xfId="0" applyNumberFormat="1" applyFont="1" applyFill="1" applyBorder="1" applyAlignment="1">
      <alignment horizontal="right" vertical="top" wrapText="1"/>
    </xf>
    <xf numFmtId="0" fontId="2" fillId="2" borderId="11" xfId="0" applyFont="1" applyFill="1" applyBorder="1" applyAlignment="1">
      <alignment vertical="top" wrapText="1"/>
    </xf>
    <xf numFmtId="0" fontId="2" fillId="2" borderId="47" xfId="0" applyFont="1" applyFill="1" applyBorder="1" applyAlignment="1">
      <alignment vertical="top" wrapText="1"/>
    </xf>
    <xf numFmtId="0" fontId="2" fillId="2" borderId="34" xfId="0" applyFont="1" applyFill="1" applyBorder="1" applyAlignment="1">
      <alignment vertical="top" wrapText="1"/>
    </xf>
    <xf numFmtId="0" fontId="2" fillId="0" borderId="39" xfId="0" applyNumberFormat="1" applyFont="1" applyFill="1" applyBorder="1" applyAlignment="1">
      <alignment horizontal="right" vertical="top" wrapText="1"/>
    </xf>
    <xf numFmtId="0" fontId="2" fillId="0" borderId="45" xfId="0" applyFont="1" applyFill="1" applyBorder="1" applyAlignment="1">
      <alignment horizontal="right" vertical="top" wrapText="1"/>
    </xf>
    <xf numFmtId="42" fontId="2" fillId="3" borderId="39" xfId="0" applyNumberFormat="1" applyFont="1" applyFill="1" applyBorder="1" applyAlignment="1">
      <alignment horizontal="right" vertical="top" wrapText="1"/>
    </xf>
    <xf numFmtId="42" fontId="2" fillId="0" borderId="39" xfId="0" applyNumberFormat="1" applyFont="1" applyFill="1" applyBorder="1" applyAlignment="1">
      <alignment horizontal="right" vertical="top" wrapText="1"/>
    </xf>
    <xf numFmtId="42" fontId="8" fillId="0" borderId="45" xfId="0" applyNumberFormat="1" applyFont="1" applyFill="1" applyBorder="1" applyAlignment="1">
      <alignment horizontal="right" vertical="top" wrapText="1"/>
    </xf>
    <xf numFmtId="42" fontId="8" fillId="0" borderId="48" xfId="0" applyNumberFormat="1" applyFont="1" applyFill="1" applyBorder="1" applyAlignment="1">
      <alignment horizontal="right" vertical="top" wrapText="1"/>
    </xf>
    <xf numFmtId="164" fontId="8" fillId="2" borderId="47" xfId="0" applyNumberFormat="1" applyFont="1" applyFill="1" applyBorder="1" applyAlignment="1">
      <alignment horizontal="left" vertical="top" wrapText="1"/>
    </xf>
    <xf numFmtId="164" fontId="8" fillId="2" borderId="34" xfId="0" applyNumberFormat="1" applyFont="1" applyFill="1" applyBorder="1" applyAlignment="1">
      <alignment horizontal="left" vertical="top" wrapText="1"/>
    </xf>
    <xf numFmtId="42" fontId="8" fillId="0" borderId="32" xfId="0" applyNumberFormat="1" applyFont="1" applyFill="1" applyBorder="1" applyAlignment="1">
      <alignment horizontal="right" vertical="top" wrapText="1"/>
    </xf>
    <xf numFmtId="42" fontId="8" fillId="0" borderId="38" xfId="0" applyNumberFormat="1" applyFont="1" applyFill="1" applyBorder="1" applyAlignment="1">
      <alignment horizontal="right" vertical="top" wrapText="1"/>
    </xf>
    <xf numFmtId="164" fontId="2" fillId="2" borderId="47" xfId="0" applyNumberFormat="1" applyFont="1" applyFill="1" applyBorder="1" applyAlignment="1">
      <alignment horizontal="left" vertical="top" wrapText="1"/>
    </xf>
    <xf numFmtId="164" fontId="2" fillId="2" borderId="34" xfId="0" applyNumberFormat="1" applyFont="1" applyFill="1" applyBorder="1" applyAlignment="1">
      <alignment horizontal="left" vertical="top" wrapText="1"/>
    </xf>
    <xf numFmtId="42" fontId="2" fillId="0" borderId="45" xfId="0" applyNumberFormat="1" applyFont="1" applyFill="1" applyBorder="1" applyAlignment="1">
      <alignment horizontal="right" vertical="top" wrapText="1"/>
    </xf>
    <xf numFmtId="0" fontId="8" fillId="0" borderId="37" xfId="0" applyFont="1" applyFill="1" applyBorder="1" applyAlignment="1">
      <alignment horizontal="right" vertical="top" wrapText="1"/>
    </xf>
    <xf numFmtId="42" fontId="2" fillId="0" borderId="25" xfId="0" applyNumberFormat="1" applyFont="1" applyFill="1" applyBorder="1" applyAlignment="1">
      <alignment horizontal="right" vertical="top" wrapText="1"/>
    </xf>
    <xf numFmtId="0" fontId="9" fillId="14" borderId="35" xfId="0" applyFont="1" applyFill="1" applyBorder="1" applyAlignment="1">
      <alignment vertical="top" wrapText="1"/>
    </xf>
    <xf numFmtId="42" fontId="8" fillId="14" borderId="45" xfId="0" applyNumberFormat="1" applyFont="1" applyFill="1" applyBorder="1" applyAlignment="1">
      <alignment horizontal="center" vertical="top" wrapText="1"/>
    </xf>
    <xf numFmtId="0" fontId="5" fillId="15" borderId="6" xfId="0" applyFont="1" applyFill="1" applyBorder="1" applyAlignment="1">
      <alignment vertical="top" wrapText="1"/>
    </xf>
    <xf numFmtId="42" fontId="8" fillId="15" borderId="45" xfId="0" applyNumberFormat="1" applyFont="1" applyFill="1" applyBorder="1" applyAlignment="1">
      <alignment horizontal="center" vertical="top" wrapText="1"/>
    </xf>
    <xf numFmtId="0" fontId="8" fillId="0" borderId="6" xfId="0" applyFont="1" applyFill="1" applyBorder="1" applyAlignment="1">
      <alignment vertical="top" wrapText="1"/>
    </xf>
    <xf numFmtId="0" fontId="8" fillId="0" borderId="6" xfId="0" applyFont="1" applyBorder="1" applyAlignment="1">
      <alignment vertical="top" wrapText="1"/>
    </xf>
    <xf numFmtId="0" fontId="2" fillId="0" borderId="6" xfId="0" applyFont="1" applyFill="1" applyBorder="1" applyAlignment="1">
      <alignment vertical="top" wrapText="1"/>
    </xf>
    <xf numFmtId="0" fontId="2" fillId="0" borderId="6" xfId="0" applyFont="1" applyBorder="1" applyAlignment="1">
      <alignment vertical="top" wrapText="1"/>
    </xf>
    <xf numFmtId="0" fontId="9" fillId="14" borderId="6" xfId="0" applyFont="1" applyFill="1" applyBorder="1" applyAlignment="1">
      <alignment vertical="top" wrapText="1"/>
    </xf>
    <xf numFmtId="0" fontId="7" fillId="15" borderId="6" xfId="0" applyFont="1" applyFill="1" applyBorder="1" applyAlignment="1">
      <alignment vertical="top" wrapText="1"/>
    </xf>
    <xf numFmtId="42" fontId="8" fillId="0" borderId="48" xfId="0" applyNumberFormat="1" applyFont="1" applyFill="1" applyBorder="1" applyAlignment="1">
      <alignment vertical="top" wrapText="1"/>
    </xf>
    <xf numFmtId="42" fontId="8" fillId="0" borderId="40" xfId="0" applyNumberFormat="1" applyFont="1" applyFill="1" applyBorder="1" applyAlignment="1">
      <alignment vertical="top" wrapText="1"/>
    </xf>
    <xf numFmtId="0" fontId="2" fillId="2" borderId="47"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0" borderId="48" xfId="0" applyFont="1" applyFill="1" applyBorder="1" applyAlignment="1">
      <alignment horizontal="right" vertical="top" wrapText="1"/>
    </xf>
    <xf numFmtId="0" fontId="2" fillId="0" borderId="40" xfId="0" applyFont="1" applyFill="1" applyBorder="1" applyAlignment="1">
      <alignment horizontal="right" vertical="top" wrapText="1"/>
    </xf>
    <xf numFmtId="0" fontId="2" fillId="2" borderId="47" xfId="0" applyFont="1" applyFill="1" applyBorder="1" applyAlignment="1">
      <alignment horizontal="right" vertical="top" wrapText="1"/>
    </xf>
    <xf numFmtId="0" fontId="2" fillId="2" borderId="34" xfId="0" applyFont="1" applyFill="1" applyBorder="1" applyAlignment="1">
      <alignment horizontal="right" vertical="top" wrapText="1"/>
    </xf>
    <xf numFmtId="42" fontId="2" fillId="0" borderId="39" xfId="0" applyNumberFormat="1" applyFont="1" applyFill="1" applyBorder="1" applyAlignment="1">
      <alignment horizontal="left" vertical="top" wrapText="1"/>
    </xf>
    <xf numFmtId="42" fontId="8" fillId="0" borderId="33" xfId="0" applyNumberFormat="1" applyFont="1" applyFill="1" applyBorder="1" applyAlignment="1">
      <alignment horizontal="right" vertical="top" wrapText="1"/>
    </xf>
    <xf numFmtId="164" fontId="8" fillId="2" borderId="47" xfId="0" applyNumberFormat="1" applyFont="1" applyFill="1" applyBorder="1" applyAlignment="1">
      <alignment horizontal="right" vertical="top" wrapText="1"/>
    </xf>
    <xf numFmtId="164" fontId="8" fillId="2" borderId="34" xfId="0" applyNumberFormat="1" applyFont="1" applyFill="1" applyBorder="1" applyAlignment="1">
      <alignment horizontal="right" vertical="top" wrapText="1"/>
    </xf>
    <xf numFmtId="0" fontId="2" fillId="0" borderId="48" xfId="0" applyNumberFormat="1" applyFont="1" applyFill="1" applyBorder="1" applyAlignment="1">
      <alignment horizontal="right" vertical="top" wrapText="1"/>
    </xf>
    <xf numFmtId="0" fontId="2" fillId="0" borderId="40" xfId="0" applyNumberFormat="1" applyFont="1" applyFill="1" applyBorder="1" applyAlignment="1">
      <alignment horizontal="right" vertical="top" wrapText="1"/>
    </xf>
    <xf numFmtId="164" fontId="2" fillId="2" borderId="34" xfId="0" applyNumberFormat="1" applyFont="1" applyFill="1" applyBorder="1" applyAlignment="1">
      <alignment horizontal="right" vertical="top" wrapText="1"/>
    </xf>
    <xf numFmtId="49" fontId="2" fillId="0" borderId="48" xfId="0" applyNumberFormat="1" applyFont="1" applyFill="1" applyBorder="1" applyAlignment="1">
      <alignment horizontal="right" vertical="top" wrapText="1"/>
    </xf>
    <xf numFmtId="49" fontId="2" fillId="0" borderId="40" xfId="0" applyNumberFormat="1" applyFont="1" applyFill="1" applyBorder="1" applyAlignment="1">
      <alignment horizontal="right" vertical="top" wrapText="1"/>
    </xf>
    <xf numFmtId="0" fontId="2" fillId="0" borderId="39" xfId="0" applyFont="1" applyFill="1" applyBorder="1" applyAlignment="1">
      <alignment horizontal="right" vertical="top" wrapText="1"/>
    </xf>
    <xf numFmtId="0" fontId="8" fillId="0" borderId="45" xfId="0" applyFont="1" applyFill="1" applyBorder="1" applyAlignment="1">
      <alignment horizontal="right" vertical="top" wrapText="1"/>
    </xf>
    <xf numFmtId="49" fontId="7" fillId="3" borderId="16" xfId="0" applyNumberFormat="1" applyFont="1" applyFill="1" applyBorder="1" applyAlignment="1">
      <alignment horizontal="left" vertical="top" wrapText="1"/>
    </xf>
    <xf numFmtId="164" fontId="2" fillId="0" borderId="48" xfId="0" applyNumberFormat="1" applyFont="1" applyFill="1" applyBorder="1" applyAlignment="1">
      <alignment horizontal="right" vertical="top" wrapText="1"/>
    </xf>
    <xf numFmtId="164" fontId="2" fillId="0" borderId="40" xfId="0" applyNumberFormat="1" applyFont="1" applyFill="1" applyBorder="1" applyAlignment="1">
      <alignment horizontal="right" vertical="top" wrapText="1"/>
    </xf>
    <xf numFmtId="42" fontId="8" fillId="0" borderId="39" xfId="0" applyNumberFormat="1" applyFont="1" applyFill="1" applyBorder="1" applyAlignment="1">
      <alignment horizontal="right" vertical="top" wrapText="1"/>
    </xf>
    <xf numFmtId="0" fontId="2" fillId="0" borderId="21" xfId="0" applyFont="1" applyBorder="1" applyAlignment="1">
      <alignment vertical="top" wrapText="1"/>
    </xf>
    <xf numFmtId="42" fontId="2" fillId="0" borderId="40" xfId="0" applyNumberFormat="1" applyFont="1" applyFill="1" applyBorder="1" applyAlignment="1">
      <alignment horizontal="right" vertical="top" wrapText="1"/>
    </xf>
    <xf numFmtId="0" fontId="4" fillId="0" borderId="16" xfId="0" applyFont="1" applyBorder="1" applyAlignment="1">
      <alignment vertical="top" wrapText="1"/>
    </xf>
    <xf numFmtId="164" fontId="2" fillId="0" borderId="17" xfId="0" applyNumberFormat="1" applyFont="1" applyFill="1" applyBorder="1" applyAlignment="1">
      <alignment horizontal="center" vertical="top" wrapText="1"/>
    </xf>
    <xf numFmtId="164" fontId="8" fillId="0" borderId="17" xfId="0" applyNumberFormat="1" applyFont="1" applyFill="1" applyBorder="1" applyAlignment="1">
      <alignment horizontal="right" vertical="top" wrapText="1"/>
    </xf>
    <xf numFmtId="164" fontId="8" fillId="0" borderId="40" xfId="0" applyNumberFormat="1" applyFont="1" applyFill="1" applyBorder="1" applyAlignment="1">
      <alignment horizontal="right" vertical="top" wrapText="1"/>
    </xf>
    <xf numFmtId="164" fontId="2" fillId="2" borderId="47" xfId="0" applyNumberFormat="1" applyFont="1" applyFill="1" applyBorder="1" applyAlignment="1">
      <alignment horizontal="right" vertical="top" wrapText="1"/>
    </xf>
    <xf numFmtId="0" fontId="8" fillId="0" borderId="1" xfId="0" applyFont="1" applyBorder="1" applyAlignment="1">
      <alignment horizontal="left" vertical="top" wrapText="1"/>
    </xf>
    <xf numFmtId="0" fontId="23"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7" fillId="1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Border="1" applyAlignment="1">
      <alignmen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3" fillId="8" borderId="2" xfId="0" applyFont="1" applyFill="1" applyBorder="1" applyAlignment="1">
      <alignment vertical="top" wrapText="1"/>
    </xf>
    <xf numFmtId="0" fontId="14"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8" fillId="8" borderId="2" xfId="0" applyFont="1" applyFill="1" applyBorder="1" applyAlignment="1">
      <alignment vertical="top" wrapText="1"/>
    </xf>
    <xf numFmtId="0" fontId="17" fillId="2" borderId="22" xfId="0" applyFont="1" applyFill="1" applyBorder="1" applyAlignment="1">
      <alignment horizontal="right" vertical="top" wrapText="1"/>
    </xf>
    <xf numFmtId="0" fontId="0" fillId="0" borderId="32" xfId="0" applyBorder="1" applyAlignment="1">
      <alignment vertical="top" wrapText="1"/>
    </xf>
    <xf numFmtId="0" fontId="14" fillId="2" borderId="37" xfId="0" applyFont="1" applyFill="1" applyBorder="1" applyAlignment="1">
      <alignment horizontal="right" vertical="top" wrapText="1"/>
    </xf>
    <xf numFmtId="0" fontId="13" fillId="0" borderId="14" xfId="0" applyFont="1" applyBorder="1" applyAlignment="1">
      <alignment horizontal="center" vertical="top" wrapText="1"/>
    </xf>
    <xf numFmtId="0" fontId="13" fillId="0" borderId="36" xfId="0" applyFont="1" applyBorder="1" applyAlignment="1">
      <alignment horizontal="center" vertical="top" wrapText="1"/>
    </xf>
    <xf numFmtId="0" fontId="0" fillId="0" borderId="15" xfId="0" applyBorder="1" applyAlignment="1">
      <alignment horizontal="center" vertical="top" wrapText="1"/>
    </xf>
    <xf numFmtId="0" fontId="0" fillId="0" borderId="36" xfId="0" applyBorder="1" applyAlignment="1">
      <alignment vertical="top" wrapText="1"/>
    </xf>
    <xf numFmtId="0" fontId="0" fillId="0" borderId="34" xfId="0" applyBorder="1" applyAlignment="1">
      <alignment vertical="top" wrapText="1"/>
    </xf>
    <xf numFmtId="0" fontId="0" fillId="0" borderId="15" xfId="0" applyBorder="1" applyAlignment="1">
      <alignment vertical="top" wrapText="1"/>
    </xf>
    <xf numFmtId="0" fontId="19" fillId="9" borderId="7" xfId="0" applyFont="1" applyFill="1" applyBorder="1" applyAlignment="1">
      <alignment vertical="top" wrapText="1"/>
    </xf>
    <xf numFmtId="0" fontId="14" fillId="0" borderId="5" xfId="0" applyFont="1" applyBorder="1" applyAlignment="1">
      <alignment vertical="top" wrapText="1"/>
    </xf>
    <xf numFmtId="0" fontId="14" fillId="0" borderId="28" xfId="0" applyFont="1" applyBorder="1" applyAlignment="1">
      <alignment vertical="top" wrapText="1"/>
    </xf>
    <xf numFmtId="0" fontId="17" fillId="8" borderId="2" xfId="0" applyFont="1" applyFill="1" applyBorder="1" applyAlignment="1">
      <alignment vertical="top" wrapText="1"/>
    </xf>
    <xf numFmtId="0" fontId="19" fillId="4" borderId="7" xfId="0" applyFont="1" applyFill="1" applyBorder="1" applyAlignment="1">
      <alignment vertical="top" wrapText="1"/>
    </xf>
    <xf numFmtId="0" fontId="19" fillId="4" borderId="5" xfId="0" applyFont="1" applyFill="1" applyBorder="1" applyAlignment="1">
      <alignment vertical="top" wrapText="1"/>
    </xf>
    <xf numFmtId="0" fontId="14" fillId="2" borderId="21" xfId="0" applyFont="1" applyFill="1" applyBorder="1" applyAlignment="1">
      <alignment horizontal="right" vertical="top" wrapText="1"/>
    </xf>
    <xf numFmtId="0" fontId="0" fillId="0" borderId="30" xfId="0" applyBorder="1" applyAlignment="1">
      <alignment vertical="top" wrapText="1"/>
    </xf>
  </cellXfs>
  <cellStyles count="2">
    <cellStyle name="Comma" xfId="1" builtinId="3"/>
    <cellStyle name="Normal" xfId="0" builtinId="0"/>
  </cellStyles>
  <dxfs count="175">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5" formatCode="\ \ \ \ \ \ \ @"/>
      <fill>
        <patternFill>
          <bgColor theme="2"/>
        </patternFill>
      </fill>
      <border>
        <top style="thin">
          <color indexed="64"/>
        </top>
        <bottom style="thin">
          <color indexed="64"/>
        </bottom>
      </border>
    </dxf>
    <dxf>
      <font>
        <b val="0"/>
        <i/>
      </font>
      <numFmt numFmtId="166" formatCode="\ \ \ \ \ \ \ \ \ \ \ \ \ \ @"/>
    </dxf>
  </dxfs>
  <tableStyles count="0" defaultTableStyle="TableStyleMedium2" defaultPivotStyle="PivotStyleLight16"/>
  <colors>
    <mruColors>
      <color rgb="FFB686DA"/>
      <color rgb="FFB88800"/>
      <color rgb="FFA29F21"/>
      <color rgb="FFA69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523875</xdr:colOff>
      <xdr:row>2</xdr:row>
      <xdr:rowOff>47625</xdr:rowOff>
    </xdr:from>
    <xdr:to>
      <xdr:col>2</xdr:col>
      <xdr:colOff>542925</xdr:colOff>
      <xdr:row>2</xdr:row>
      <xdr:rowOff>200025</xdr:rowOff>
    </xdr:to>
    <xdr:cxnSp macro="">
      <xdr:nvCxnSpPr>
        <xdr:cNvPr id="10" name="Straight Arrow Connector 9"/>
        <xdr:cNvCxnSpPr/>
      </xdr:nvCxnSpPr>
      <xdr:spPr>
        <a:xfrm flipH="1">
          <a:off x="3762375" y="695325"/>
          <a:ext cx="19050" cy="1524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1016000</xdr:colOff>
      <xdr:row>2</xdr:row>
      <xdr:rowOff>155575</xdr:rowOff>
    </xdr:from>
    <xdr:to>
      <xdr:col>4</xdr:col>
      <xdr:colOff>171450</xdr:colOff>
      <xdr:row>2</xdr:row>
      <xdr:rowOff>155575</xdr:rowOff>
    </xdr:to>
    <xdr:cxnSp macro="">
      <xdr:nvCxnSpPr>
        <xdr:cNvPr id="11" name="Straight Arrow Connector 10"/>
        <xdr:cNvCxnSpPr/>
      </xdr:nvCxnSpPr>
      <xdr:spPr>
        <a:xfrm>
          <a:off x="7369175" y="860425"/>
          <a:ext cx="2317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536576</xdr:colOff>
      <xdr:row>31</xdr:row>
      <xdr:rowOff>38100</xdr:rowOff>
    </xdr:from>
    <xdr:to>
      <xdr:col>2</xdr:col>
      <xdr:colOff>571500</xdr:colOff>
      <xdr:row>31</xdr:row>
      <xdr:rowOff>333375</xdr:rowOff>
    </xdr:to>
    <xdr:cxnSp macro="">
      <xdr:nvCxnSpPr>
        <xdr:cNvPr id="13" name="Straight Arrow Connector 12"/>
        <xdr:cNvCxnSpPr/>
      </xdr:nvCxnSpPr>
      <xdr:spPr>
        <a:xfrm flipH="1">
          <a:off x="3775076" y="14224000"/>
          <a:ext cx="34924" cy="2952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806450</xdr:colOff>
      <xdr:row>31</xdr:row>
      <xdr:rowOff>165100</xdr:rowOff>
    </xdr:from>
    <xdr:to>
      <xdr:col>3</xdr:col>
      <xdr:colOff>1038225</xdr:colOff>
      <xdr:row>31</xdr:row>
      <xdr:rowOff>165100</xdr:rowOff>
    </xdr:to>
    <xdr:cxnSp macro="">
      <xdr:nvCxnSpPr>
        <xdr:cNvPr id="14" name="Straight Arrow Connector 13"/>
        <xdr:cNvCxnSpPr/>
      </xdr:nvCxnSpPr>
      <xdr:spPr>
        <a:xfrm>
          <a:off x="5213350" y="14351000"/>
          <a:ext cx="2317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495300</xdr:colOff>
      <xdr:row>128</xdr:row>
      <xdr:rowOff>19050</xdr:rowOff>
    </xdr:from>
    <xdr:to>
      <xdr:col>2</xdr:col>
      <xdr:colOff>514351</xdr:colOff>
      <xdr:row>128</xdr:row>
      <xdr:rowOff>285750</xdr:rowOff>
    </xdr:to>
    <xdr:cxnSp macro="">
      <xdr:nvCxnSpPr>
        <xdr:cNvPr id="16" name="Straight Arrow Connector 15"/>
        <xdr:cNvCxnSpPr/>
      </xdr:nvCxnSpPr>
      <xdr:spPr>
        <a:xfrm flipH="1">
          <a:off x="3733800" y="870394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128</xdr:row>
      <xdr:rowOff>76200</xdr:rowOff>
    </xdr:from>
    <xdr:to>
      <xdr:col>4</xdr:col>
      <xdr:colOff>123825</xdr:colOff>
      <xdr:row>128</xdr:row>
      <xdr:rowOff>76200</xdr:rowOff>
    </xdr:to>
    <xdr:cxnSp macro="">
      <xdr:nvCxnSpPr>
        <xdr:cNvPr id="17" name="Straight Arrow Connector 16"/>
        <xdr:cNvCxnSpPr/>
      </xdr:nvCxnSpPr>
      <xdr:spPr>
        <a:xfrm>
          <a:off x="5238750" y="8515350"/>
          <a:ext cx="228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469900</xdr:colOff>
      <xdr:row>143</xdr:row>
      <xdr:rowOff>6350</xdr:rowOff>
    </xdr:from>
    <xdr:to>
      <xdr:col>2</xdr:col>
      <xdr:colOff>488951</xdr:colOff>
      <xdr:row>143</xdr:row>
      <xdr:rowOff>273050</xdr:rowOff>
    </xdr:to>
    <xdr:cxnSp macro="">
      <xdr:nvCxnSpPr>
        <xdr:cNvPr id="19" name="Straight Arrow Connector 18"/>
        <xdr:cNvCxnSpPr/>
      </xdr:nvCxnSpPr>
      <xdr:spPr>
        <a:xfrm flipH="1">
          <a:off x="3708400" y="929322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143</xdr:row>
      <xdr:rowOff>76200</xdr:rowOff>
    </xdr:from>
    <xdr:to>
      <xdr:col>4</xdr:col>
      <xdr:colOff>123825</xdr:colOff>
      <xdr:row>143</xdr:row>
      <xdr:rowOff>76200</xdr:rowOff>
    </xdr:to>
    <xdr:cxnSp macro="">
      <xdr:nvCxnSpPr>
        <xdr:cNvPr id="20" name="Straight Arrow Connector 19"/>
        <xdr:cNvCxnSpPr/>
      </xdr:nvCxnSpPr>
      <xdr:spPr>
        <a:xfrm>
          <a:off x="5238750" y="81010125"/>
          <a:ext cx="228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520700</xdr:colOff>
      <xdr:row>171</xdr:row>
      <xdr:rowOff>6350</xdr:rowOff>
    </xdr:from>
    <xdr:to>
      <xdr:col>2</xdr:col>
      <xdr:colOff>539751</xdr:colOff>
      <xdr:row>171</xdr:row>
      <xdr:rowOff>273050</xdr:rowOff>
    </xdr:to>
    <xdr:cxnSp macro="">
      <xdr:nvCxnSpPr>
        <xdr:cNvPr id="21" name="Straight Arrow Connector 20"/>
        <xdr:cNvCxnSpPr/>
      </xdr:nvCxnSpPr>
      <xdr:spPr>
        <a:xfrm flipH="1">
          <a:off x="3759200" y="996632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755650</xdr:colOff>
      <xdr:row>171</xdr:row>
      <xdr:rowOff>250825</xdr:rowOff>
    </xdr:from>
    <xdr:to>
      <xdr:col>3</xdr:col>
      <xdr:colOff>987425</xdr:colOff>
      <xdr:row>171</xdr:row>
      <xdr:rowOff>250825</xdr:rowOff>
    </xdr:to>
    <xdr:cxnSp macro="">
      <xdr:nvCxnSpPr>
        <xdr:cNvPr id="22" name="Straight Arrow Connector 21"/>
        <xdr:cNvCxnSpPr/>
      </xdr:nvCxnSpPr>
      <xdr:spPr>
        <a:xfrm>
          <a:off x="7108825" y="91776550"/>
          <a:ext cx="2317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268</xdr:row>
      <xdr:rowOff>44450</xdr:rowOff>
    </xdr:from>
    <xdr:to>
      <xdr:col>2</xdr:col>
      <xdr:colOff>577851</xdr:colOff>
      <xdr:row>268</xdr:row>
      <xdr:rowOff>311150</xdr:rowOff>
    </xdr:to>
    <xdr:cxnSp macro="">
      <xdr:nvCxnSpPr>
        <xdr:cNvPr id="23" name="Straight Arrow Connector 22"/>
        <xdr:cNvCxnSpPr/>
      </xdr:nvCxnSpPr>
      <xdr:spPr>
        <a:xfrm flipH="1">
          <a:off x="3797300" y="173412150"/>
          <a:ext cx="19051" cy="2667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971550</xdr:colOff>
      <xdr:row>268</xdr:row>
      <xdr:rowOff>76200</xdr:rowOff>
    </xdr:from>
    <xdr:to>
      <xdr:col>4</xdr:col>
      <xdr:colOff>123825</xdr:colOff>
      <xdr:row>268</xdr:row>
      <xdr:rowOff>76200</xdr:rowOff>
    </xdr:to>
    <xdr:cxnSp macro="">
      <xdr:nvCxnSpPr>
        <xdr:cNvPr id="24" name="Straight Arrow Connector 23"/>
        <xdr:cNvCxnSpPr/>
      </xdr:nvCxnSpPr>
      <xdr:spPr>
        <a:xfrm>
          <a:off x="5238750" y="93545025"/>
          <a:ext cx="2286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419"/>
  <sheetViews>
    <sheetView tabSelected="1" zoomScaleNormal="100" workbookViewId="0">
      <selection activeCell="B4" sqref="B4"/>
    </sheetView>
  </sheetViews>
  <sheetFormatPr defaultColWidth="9.140625" defaultRowHeight="12.75" outlineLevelRow="2" outlineLevelCol="1" x14ac:dyDescent="0.2"/>
  <cols>
    <col min="1" max="1" width="13.85546875" style="13" customWidth="1"/>
    <col min="2" max="2" width="61.85546875" style="105" customWidth="1"/>
    <col min="3" max="3" width="19.5703125" style="78" bestFit="1" customWidth="1"/>
    <col min="4" max="4" width="16.140625" style="86" customWidth="1"/>
    <col min="5" max="5" width="17" style="86" customWidth="1" outlineLevel="1"/>
    <col min="6" max="6" width="16.140625" style="89" customWidth="1" outlineLevel="1"/>
    <col min="7" max="7" width="16.140625" style="88" customWidth="1" outlineLevel="1"/>
    <col min="8" max="14" width="16.140625" style="89" customWidth="1" outlineLevel="1"/>
    <col min="15" max="15" width="16.140625" style="89" customWidth="1"/>
    <col min="16" max="20" width="16.140625" style="89" customWidth="1" outlineLevel="1"/>
    <col min="21" max="21" width="16.140625" style="89" customWidth="1"/>
    <col min="22" max="37" width="16.140625" style="89" customWidth="1" outlineLevel="1"/>
    <col min="38" max="38" width="16.140625" style="89" customWidth="1"/>
    <col min="39" max="48" width="16.140625" style="89" customWidth="1" outlineLevel="1"/>
    <col min="49" max="49" width="16.140625" style="89" customWidth="1"/>
    <col min="50" max="55" width="16.140625" style="89" customWidth="1" outlineLevel="1"/>
    <col min="56" max="56" width="16.140625" style="89" customWidth="1"/>
    <col min="57" max="77" width="16.140625" style="89" customWidth="1" outlineLevel="1"/>
    <col min="78" max="78" width="16.140625" style="92" customWidth="1" outlineLevel="1"/>
    <col min="79" max="99" width="16.140625" style="89" customWidth="1" outlineLevel="1"/>
    <col min="100" max="100" width="2.7109375" style="10" customWidth="1"/>
    <col min="101" max="16384" width="9.140625" style="87"/>
  </cols>
  <sheetData>
    <row r="1" spans="1:100" s="4" customFormat="1" x14ac:dyDescent="0.2">
      <c r="A1" s="3"/>
      <c r="B1" s="85"/>
      <c r="C1" s="69"/>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spans="1:100" ht="42.75" thickBot="1" x14ac:dyDescent="0.25">
      <c r="A2" s="340" t="s">
        <v>30</v>
      </c>
      <c r="B2" s="339" t="s">
        <v>43</v>
      </c>
      <c r="C2" s="82"/>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189"/>
    </row>
    <row r="3" spans="1:100" ht="27.75" customHeight="1" x14ac:dyDescent="0.2">
      <c r="A3" s="23"/>
      <c r="B3" s="15" t="s">
        <v>811</v>
      </c>
      <c r="C3" s="161" t="s">
        <v>1070</v>
      </c>
      <c r="D3" s="338" t="s">
        <v>1071</v>
      </c>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380"/>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381"/>
      <c r="CV3" s="190"/>
    </row>
    <row r="4" spans="1:100" ht="89.25" x14ac:dyDescent="0.2">
      <c r="A4" s="3" t="s">
        <v>99</v>
      </c>
      <c r="B4" s="25" t="s">
        <v>139</v>
      </c>
      <c r="C4" s="70"/>
      <c r="D4" s="16" t="s">
        <v>163</v>
      </c>
      <c r="E4" s="16" t="s">
        <v>163</v>
      </c>
      <c r="F4" s="16" t="s">
        <v>171</v>
      </c>
      <c r="G4" s="16" t="s">
        <v>167</v>
      </c>
      <c r="H4" s="16" t="s">
        <v>569</v>
      </c>
      <c r="I4" s="16" t="s">
        <v>502</v>
      </c>
      <c r="J4" s="16" t="s">
        <v>501</v>
      </c>
      <c r="K4" s="16" t="s">
        <v>570</v>
      </c>
      <c r="L4" s="16" t="s">
        <v>759</v>
      </c>
      <c r="M4" s="16" t="s">
        <v>585</v>
      </c>
      <c r="N4" s="16" t="s">
        <v>586</v>
      </c>
      <c r="O4" s="16" t="s">
        <v>728</v>
      </c>
      <c r="P4" s="16" t="s">
        <v>220</v>
      </c>
      <c r="Q4" s="16" t="s">
        <v>216</v>
      </c>
      <c r="R4" s="16" t="s">
        <v>215</v>
      </c>
      <c r="S4" s="16" t="s">
        <v>784</v>
      </c>
      <c r="T4" s="16" t="s">
        <v>503</v>
      </c>
      <c r="U4" s="16" t="s">
        <v>178</v>
      </c>
      <c r="V4" s="16" t="s">
        <v>211</v>
      </c>
      <c r="W4" s="16" t="s">
        <v>506</v>
      </c>
      <c r="X4" s="16" t="s">
        <v>212</v>
      </c>
      <c r="Y4" s="16" t="s">
        <v>218</v>
      </c>
      <c r="Z4" s="16" t="s">
        <v>217</v>
      </c>
      <c r="AA4" s="16" t="s">
        <v>214</v>
      </c>
      <c r="AB4" s="16" t="s">
        <v>221</v>
      </c>
      <c r="AC4" s="16" t="s">
        <v>304</v>
      </c>
      <c r="AD4" s="16" t="s">
        <v>220</v>
      </c>
      <c r="AE4" s="16" t="s">
        <v>220</v>
      </c>
      <c r="AF4" s="16" t="s">
        <v>579</v>
      </c>
      <c r="AG4" s="16" t="s">
        <v>580</v>
      </c>
      <c r="AH4" s="16" t="s">
        <v>581</v>
      </c>
      <c r="AI4" s="16" t="s">
        <v>582</v>
      </c>
      <c r="AJ4" s="16" t="s">
        <v>583</v>
      </c>
      <c r="AK4" s="16" t="s">
        <v>584</v>
      </c>
      <c r="AL4" s="16" t="s">
        <v>726</v>
      </c>
      <c r="AM4" s="16" t="s">
        <v>220</v>
      </c>
      <c r="AN4" s="16" t="s">
        <v>215</v>
      </c>
      <c r="AO4" s="16" t="s">
        <v>727</v>
      </c>
      <c r="AP4" s="16" t="s">
        <v>785</v>
      </c>
      <c r="AQ4" s="16" t="s">
        <v>731</v>
      </c>
      <c r="AR4" s="16" t="s">
        <v>576</v>
      </c>
      <c r="AS4" s="16" t="s">
        <v>576</v>
      </c>
      <c r="AT4" s="16" t="s">
        <v>577</v>
      </c>
      <c r="AU4" s="16" t="s">
        <v>578</v>
      </c>
      <c r="AV4" s="16" t="s">
        <v>196</v>
      </c>
      <c r="AW4" s="16" t="s">
        <v>729</v>
      </c>
      <c r="AX4" s="16" t="s">
        <v>576</v>
      </c>
      <c r="AY4" s="16" t="s">
        <v>571</v>
      </c>
      <c r="AZ4" s="16" t="s">
        <v>572</v>
      </c>
      <c r="BA4" s="16" t="s">
        <v>573</v>
      </c>
      <c r="BB4" s="16" t="s">
        <v>574</v>
      </c>
      <c r="BC4" s="16" t="s">
        <v>575</v>
      </c>
      <c r="BD4" s="177" t="s">
        <v>730</v>
      </c>
      <c r="BE4" s="16" t="s">
        <v>223</v>
      </c>
      <c r="BF4" s="16" t="s">
        <v>222</v>
      </c>
      <c r="BG4" s="16" t="s">
        <v>222</v>
      </c>
      <c r="BH4" s="16" t="s">
        <v>219</v>
      </c>
      <c r="BI4" s="16" t="s">
        <v>587</v>
      </c>
      <c r="BJ4" s="16" t="s">
        <v>589</v>
      </c>
      <c r="BK4" s="16" t="s">
        <v>588</v>
      </c>
      <c r="BL4" s="16" t="s">
        <v>590</v>
      </c>
      <c r="BM4" s="16" t="s">
        <v>732</v>
      </c>
      <c r="BN4" s="16" t="s">
        <v>752</v>
      </c>
      <c r="BO4" s="16" t="s">
        <v>733</v>
      </c>
      <c r="BP4" s="16" t="s">
        <v>753</v>
      </c>
      <c r="BQ4" s="16" t="s">
        <v>754</v>
      </c>
      <c r="BR4" s="16" t="s">
        <v>733</v>
      </c>
      <c r="BS4" s="16" t="s">
        <v>733</v>
      </c>
      <c r="BT4" s="16" t="s">
        <v>733</v>
      </c>
      <c r="BU4" s="16" t="s">
        <v>733</v>
      </c>
      <c r="BV4" s="16" t="s">
        <v>734</v>
      </c>
      <c r="BW4" s="16" t="s">
        <v>576</v>
      </c>
      <c r="BX4" s="16" t="s">
        <v>605</v>
      </c>
      <c r="BY4" s="16" t="s">
        <v>607</v>
      </c>
      <c r="BZ4" s="16" t="s">
        <v>606</v>
      </c>
      <c r="CA4" s="16" t="s">
        <v>608</v>
      </c>
      <c r="CB4" s="16" t="s">
        <v>609</v>
      </c>
      <c r="CC4" s="16" t="s">
        <v>610</v>
      </c>
      <c r="CD4" s="16" t="s">
        <v>611</v>
      </c>
      <c r="CE4" s="16" t="s">
        <v>613</v>
      </c>
      <c r="CF4" s="16" t="s">
        <v>612</v>
      </c>
      <c r="CG4" s="16" t="s">
        <v>604</v>
      </c>
      <c r="CH4" s="16" t="s">
        <v>786</v>
      </c>
      <c r="CI4" s="16" t="s">
        <v>591</v>
      </c>
      <c r="CJ4" s="16" t="s">
        <v>603</v>
      </c>
      <c r="CK4" s="16" t="s">
        <v>602</v>
      </c>
      <c r="CL4" s="16" t="s">
        <v>601</v>
      </c>
      <c r="CM4" s="16" t="s">
        <v>592</v>
      </c>
      <c r="CN4" s="16" t="s">
        <v>596</v>
      </c>
      <c r="CO4" s="16" t="s">
        <v>597</v>
      </c>
      <c r="CP4" s="16" t="s">
        <v>598</v>
      </c>
      <c r="CQ4" s="16" t="s">
        <v>599</v>
      </c>
      <c r="CR4" s="16" t="s">
        <v>593</v>
      </c>
      <c r="CS4" s="16" t="s">
        <v>595</v>
      </c>
      <c r="CT4" s="16" t="s">
        <v>600</v>
      </c>
      <c r="CU4" s="391" t="s">
        <v>594</v>
      </c>
      <c r="CV4" s="189"/>
    </row>
    <row r="5" spans="1:100" x14ac:dyDescent="0.2">
      <c r="A5" s="3" t="s">
        <v>100</v>
      </c>
      <c r="B5" s="25" t="s">
        <v>29</v>
      </c>
      <c r="C5" s="70"/>
      <c r="D5" s="16" t="s">
        <v>164</v>
      </c>
      <c r="E5" s="16" t="s">
        <v>165</v>
      </c>
      <c r="F5" s="16" t="s">
        <v>164</v>
      </c>
      <c r="G5" s="16" t="s">
        <v>164</v>
      </c>
      <c r="H5" s="16" t="s">
        <v>165</v>
      </c>
      <c r="I5" s="16" t="s">
        <v>213</v>
      </c>
      <c r="J5" s="16" t="s">
        <v>165</v>
      </c>
      <c r="K5" s="16" t="s">
        <v>164</v>
      </c>
      <c r="L5" s="16" t="s">
        <v>164</v>
      </c>
      <c r="M5" s="16" t="s">
        <v>164</v>
      </c>
      <c r="N5" s="16" t="s">
        <v>164</v>
      </c>
      <c r="O5" s="16" t="s">
        <v>164</v>
      </c>
      <c r="P5" s="16" t="s">
        <v>164</v>
      </c>
      <c r="Q5" s="16" t="s">
        <v>164</v>
      </c>
      <c r="R5" s="16" t="s">
        <v>165</v>
      </c>
      <c r="S5" s="16" t="s">
        <v>164</v>
      </c>
      <c r="T5" s="16" t="s">
        <v>164</v>
      </c>
      <c r="U5" s="16" t="s">
        <v>164</v>
      </c>
      <c r="V5" s="16" t="s">
        <v>164</v>
      </c>
      <c r="W5" s="16" t="s">
        <v>164</v>
      </c>
      <c r="X5" s="16" t="s">
        <v>164</v>
      </c>
      <c r="Y5" s="16" t="s">
        <v>164</v>
      </c>
      <c r="Z5" s="16" t="s">
        <v>164</v>
      </c>
      <c r="AA5" s="16" t="s">
        <v>164</v>
      </c>
      <c r="AB5" s="16" t="s">
        <v>164</v>
      </c>
      <c r="AC5" s="16" t="s">
        <v>164</v>
      </c>
      <c r="AD5" s="16" t="s">
        <v>164</v>
      </c>
      <c r="AE5" s="16" t="s">
        <v>164</v>
      </c>
      <c r="AF5" s="16" t="s">
        <v>164</v>
      </c>
      <c r="AG5" s="16" t="s">
        <v>164</v>
      </c>
      <c r="AH5" s="16" t="s">
        <v>164</v>
      </c>
      <c r="AI5" s="16" t="s">
        <v>164</v>
      </c>
      <c r="AJ5" s="16" t="s">
        <v>164</v>
      </c>
      <c r="AK5" s="16" t="s">
        <v>164</v>
      </c>
      <c r="AL5" s="16" t="s">
        <v>164</v>
      </c>
      <c r="AM5" s="16" t="s">
        <v>164</v>
      </c>
      <c r="AN5" s="16" t="s">
        <v>164</v>
      </c>
      <c r="AO5" s="16" t="s">
        <v>164</v>
      </c>
      <c r="AP5" s="16" t="s">
        <v>164</v>
      </c>
      <c r="AQ5" s="16" t="s">
        <v>164</v>
      </c>
      <c r="AR5" s="16" t="s">
        <v>164</v>
      </c>
      <c r="AS5" s="16" t="s">
        <v>164</v>
      </c>
      <c r="AT5" s="16" t="s">
        <v>164</v>
      </c>
      <c r="AU5" s="16" t="s">
        <v>164</v>
      </c>
      <c r="AV5" s="16" t="s">
        <v>164</v>
      </c>
      <c r="AW5" s="16" t="s">
        <v>164</v>
      </c>
      <c r="AX5" s="16" t="s">
        <v>164</v>
      </c>
      <c r="AY5" s="16" t="s">
        <v>164</v>
      </c>
      <c r="AZ5" s="16" t="s">
        <v>164</v>
      </c>
      <c r="BA5" s="16" t="s">
        <v>164</v>
      </c>
      <c r="BB5" s="16" t="s">
        <v>164</v>
      </c>
      <c r="BC5" s="16" t="s">
        <v>164</v>
      </c>
      <c r="BD5" s="177" t="s">
        <v>164</v>
      </c>
      <c r="BE5" s="16" t="s">
        <v>164</v>
      </c>
      <c r="BF5" s="16" t="s">
        <v>164</v>
      </c>
      <c r="BG5" s="16" t="s">
        <v>164</v>
      </c>
      <c r="BH5" s="16" t="s">
        <v>213</v>
      </c>
      <c r="BI5" s="16" t="s">
        <v>213</v>
      </c>
      <c r="BJ5" s="16" t="s">
        <v>164</v>
      </c>
      <c r="BK5" s="16" t="s">
        <v>164</v>
      </c>
      <c r="BL5" s="16" t="s">
        <v>164</v>
      </c>
      <c r="BM5" s="16" t="s">
        <v>213</v>
      </c>
      <c r="BN5" s="16" t="s">
        <v>213</v>
      </c>
      <c r="BO5" s="16" t="s">
        <v>213</v>
      </c>
      <c r="BP5" s="16" t="s">
        <v>213</v>
      </c>
      <c r="BQ5" s="16" t="s">
        <v>213</v>
      </c>
      <c r="BR5" s="16" t="s">
        <v>213</v>
      </c>
      <c r="BS5" s="16" t="s">
        <v>213</v>
      </c>
      <c r="BT5" s="16" t="s">
        <v>213</v>
      </c>
      <c r="BU5" s="16" t="s">
        <v>213</v>
      </c>
      <c r="BV5" s="16" t="s">
        <v>213</v>
      </c>
      <c r="BW5" s="16" t="s">
        <v>164</v>
      </c>
      <c r="BX5" s="16" t="s">
        <v>164</v>
      </c>
      <c r="BY5" s="16" t="s">
        <v>164</v>
      </c>
      <c r="BZ5" s="16" t="s">
        <v>164</v>
      </c>
      <c r="CA5" s="16" t="s">
        <v>164</v>
      </c>
      <c r="CB5" s="16" t="s">
        <v>164</v>
      </c>
      <c r="CC5" s="16" t="s">
        <v>164</v>
      </c>
      <c r="CD5" s="16" t="s">
        <v>164</v>
      </c>
      <c r="CE5" s="16" t="s">
        <v>164</v>
      </c>
      <c r="CF5" s="16" t="s">
        <v>164</v>
      </c>
      <c r="CG5" s="16" t="s">
        <v>164</v>
      </c>
      <c r="CH5" s="16" t="s">
        <v>164</v>
      </c>
      <c r="CI5" s="16" t="s">
        <v>164</v>
      </c>
      <c r="CJ5" s="16" t="s">
        <v>164</v>
      </c>
      <c r="CK5" s="16" t="s">
        <v>164</v>
      </c>
      <c r="CL5" s="16" t="s">
        <v>164</v>
      </c>
      <c r="CM5" s="16" t="s">
        <v>164</v>
      </c>
      <c r="CN5" s="16" t="s">
        <v>164</v>
      </c>
      <c r="CO5" s="16" t="s">
        <v>164</v>
      </c>
      <c r="CP5" s="16" t="s">
        <v>164</v>
      </c>
      <c r="CQ5" s="16" t="s">
        <v>164</v>
      </c>
      <c r="CR5" s="16" t="s">
        <v>164</v>
      </c>
      <c r="CS5" s="16" t="s">
        <v>164</v>
      </c>
      <c r="CT5" s="16" t="s">
        <v>164</v>
      </c>
      <c r="CU5" s="391" t="s">
        <v>164</v>
      </c>
      <c r="CV5" s="189"/>
    </row>
    <row r="6" spans="1:100" ht="13.5" thickBot="1" x14ac:dyDescent="0.25">
      <c r="A6" s="3" t="s">
        <v>101</v>
      </c>
      <c r="B6" s="46" t="s">
        <v>56</v>
      </c>
      <c r="C6" s="72"/>
      <c r="D6" s="61" t="s">
        <v>14</v>
      </c>
      <c r="E6" s="61" t="s">
        <v>14</v>
      </c>
      <c r="F6" s="61" t="s">
        <v>15</v>
      </c>
      <c r="G6" s="61" t="s">
        <v>15</v>
      </c>
      <c r="H6" s="61" t="s">
        <v>15</v>
      </c>
      <c r="I6" s="61" t="s">
        <v>179</v>
      </c>
      <c r="J6" s="61" t="s">
        <v>179</v>
      </c>
      <c r="K6" s="61" t="s">
        <v>179</v>
      </c>
      <c r="L6" s="61" t="s">
        <v>179</v>
      </c>
      <c r="M6" s="61" t="s">
        <v>179</v>
      </c>
      <c r="N6" s="61" t="s">
        <v>179</v>
      </c>
      <c r="O6" s="61" t="s">
        <v>179</v>
      </c>
      <c r="P6" s="61" t="s">
        <v>179</v>
      </c>
      <c r="Q6" s="61" t="s">
        <v>179</v>
      </c>
      <c r="R6" s="61" t="s">
        <v>179</v>
      </c>
      <c r="S6" s="61" t="s">
        <v>179</v>
      </c>
      <c r="T6" s="61" t="s">
        <v>179</v>
      </c>
      <c r="U6" s="61" t="s">
        <v>179</v>
      </c>
      <c r="V6" s="61" t="s">
        <v>179</v>
      </c>
      <c r="W6" s="61" t="s">
        <v>179</v>
      </c>
      <c r="X6" s="61" t="s">
        <v>179</v>
      </c>
      <c r="Y6" s="61" t="s">
        <v>179</v>
      </c>
      <c r="Z6" s="61" t="s">
        <v>179</v>
      </c>
      <c r="AA6" s="61" t="s">
        <v>179</v>
      </c>
      <c r="AB6" s="61" t="s">
        <v>179</v>
      </c>
      <c r="AC6" s="61" t="s">
        <v>179</v>
      </c>
      <c r="AD6" s="61" t="s">
        <v>179</v>
      </c>
      <c r="AE6" s="61" t="s">
        <v>179</v>
      </c>
      <c r="AF6" s="61" t="s">
        <v>179</v>
      </c>
      <c r="AG6" s="61" t="s">
        <v>179</v>
      </c>
      <c r="AH6" s="61" t="s">
        <v>179</v>
      </c>
      <c r="AI6" s="61" t="s">
        <v>179</v>
      </c>
      <c r="AJ6" s="61" t="s">
        <v>179</v>
      </c>
      <c r="AK6" s="61" t="s">
        <v>179</v>
      </c>
      <c r="AL6" s="61" t="s">
        <v>179</v>
      </c>
      <c r="AM6" s="61" t="s">
        <v>179</v>
      </c>
      <c r="AN6" s="61" t="s">
        <v>179</v>
      </c>
      <c r="AO6" s="61" t="s">
        <v>179</v>
      </c>
      <c r="AP6" s="61" t="s">
        <v>179</v>
      </c>
      <c r="AQ6" s="61" t="s">
        <v>179</v>
      </c>
      <c r="AR6" s="61" t="s">
        <v>179</v>
      </c>
      <c r="AS6" s="61" t="s">
        <v>179</v>
      </c>
      <c r="AT6" s="61" t="s">
        <v>179</v>
      </c>
      <c r="AU6" s="61" t="s">
        <v>179</v>
      </c>
      <c r="AV6" s="61" t="s">
        <v>179</v>
      </c>
      <c r="AW6" s="61" t="s">
        <v>179</v>
      </c>
      <c r="AX6" s="61" t="s">
        <v>179</v>
      </c>
      <c r="AY6" s="61" t="s">
        <v>179</v>
      </c>
      <c r="AZ6" s="61" t="s">
        <v>179</v>
      </c>
      <c r="BA6" s="61" t="s">
        <v>179</v>
      </c>
      <c r="BB6" s="61" t="s">
        <v>179</v>
      </c>
      <c r="BC6" s="61" t="s">
        <v>179</v>
      </c>
      <c r="BD6" s="378" t="s">
        <v>179</v>
      </c>
      <c r="BE6" s="61" t="s">
        <v>179</v>
      </c>
      <c r="BF6" s="61"/>
      <c r="BG6" s="61"/>
      <c r="BH6" s="61" t="s">
        <v>179</v>
      </c>
      <c r="BI6" s="61" t="s">
        <v>179</v>
      </c>
      <c r="BJ6" s="61" t="s">
        <v>179</v>
      </c>
      <c r="BK6" s="61" t="s">
        <v>179</v>
      </c>
      <c r="BL6" s="61" t="s">
        <v>179</v>
      </c>
      <c r="BM6" s="61" t="s">
        <v>179</v>
      </c>
      <c r="BN6" s="61" t="s">
        <v>179</v>
      </c>
      <c r="BO6" s="61" t="s">
        <v>179</v>
      </c>
      <c r="BP6" s="61" t="s">
        <v>179</v>
      </c>
      <c r="BQ6" s="61" t="s">
        <v>179</v>
      </c>
      <c r="BR6" s="61" t="s">
        <v>179</v>
      </c>
      <c r="BS6" s="61" t="s">
        <v>179</v>
      </c>
      <c r="BT6" s="61" t="s">
        <v>179</v>
      </c>
      <c r="BU6" s="61" t="s">
        <v>179</v>
      </c>
      <c r="BV6" s="61" t="s">
        <v>179</v>
      </c>
      <c r="BW6" s="61" t="s">
        <v>179</v>
      </c>
      <c r="BX6" s="61" t="s">
        <v>179</v>
      </c>
      <c r="BY6" s="61" t="s">
        <v>179</v>
      </c>
      <c r="BZ6" s="61" t="s">
        <v>179</v>
      </c>
      <c r="CA6" s="61" t="s">
        <v>179</v>
      </c>
      <c r="CB6" s="61" t="s">
        <v>179</v>
      </c>
      <c r="CC6" s="61" t="s">
        <v>179</v>
      </c>
      <c r="CD6" s="61" t="s">
        <v>179</v>
      </c>
      <c r="CE6" s="61" t="s">
        <v>179</v>
      </c>
      <c r="CF6" s="61" t="s">
        <v>179</v>
      </c>
      <c r="CG6" s="61" t="s">
        <v>179</v>
      </c>
      <c r="CH6" s="61" t="s">
        <v>179</v>
      </c>
      <c r="CI6" s="61" t="s">
        <v>179</v>
      </c>
      <c r="CJ6" s="61" t="s">
        <v>179</v>
      </c>
      <c r="CK6" s="61" t="s">
        <v>179</v>
      </c>
      <c r="CL6" s="61" t="s">
        <v>179</v>
      </c>
      <c r="CM6" s="61" t="s">
        <v>179</v>
      </c>
      <c r="CN6" s="61" t="s">
        <v>179</v>
      </c>
      <c r="CO6" s="61" t="s">
        <v>179</v>
      </c>
      <c r="CP6" s="61" t="s">
        <v>179</v>
      </c>
      <c r="CQ6" s="61" t="s">
        <v>179</v>
      </c>
      <c r="CR6" s="61" t="s">
        <v>179</v>
      </c>
      <c r="CS6" s="61" t="s">
        <v>179</v>
      </c>
      <c r="CT6" s="61" t="s">
        <v>179</v>
      </c>
      <c r="CU6" s="379" t="s">
        <v>179</v>
      </c>
      <c r="CV6" s="190"/>
    </row>
    <row r="7" spans="1:100" s="105" customFormat="1" ht="38.25" hidden="1" outlineLevel="1" x14ac:dyDescent="0.2">
      <c r="A7" s="3"/>
      <c r="B7" s="12" t="s">
        <v>1170</v>
      </c>
      <c r="C7" s="73"/>
      <c r="D7" s="176" t="s">
        <v>210</v>
      </c>
      <c r="E7" s="176" t="s">
        <v>210</v>
      </c>
      <c r="F7" s="176" t="s">
        <v>210</v>
      </c>
      <c r="G7" s="176" t="s">
        <v>210</v>
      </c>
      <c r="H7" s="176" t="s">
        <v>210</v>
      </c>
      <c r="I7" s="176" t="s">
        <v>210</v>
      </c>
      <c r="J7" s="176" t="s">
        <v>210</v>
      </c>
      <c r="K7" s="176" t="s">
        <v>210</v>
      </c>
      <c r="L7" s="176" t="s">
        <v>210</v>
      </c>
      <c r="M7" s="176" t="s">
        <v>210</v>
      </c>
      <c r="N7" s="176" t="s">
        <v>210</v>
      </c>
      <c r="O7" s="99" t="s">
        <v>1062</v>
      </c>
      <c r="P7" s="99" t="s">
        <v>1062</v>
      </c>
      <c r="Q7" s="99" t="s">
        <v>1062</v>
      </c>
      <c r="R7" s="99" t="s">
        <v>1062</v>
      </c>
      <c r="S7" s="99" t="s">
        <v>1062</v>
      </c>
      <c r="T7" s="99" t="s">
        <v>1062</v>
      </c>
      <c r="U7" s="100" t="s">
        <v>1063</v>
      </c>
      <c r="V7" s="100" t="s">
        <v>1063</v>
      </c>
      <c r="W7" s="100" t="s">
        <v>1063</v>
      </c>
      <c r="X7" s="100" t="s">
        <v>1063</v>
      </c>
      <c r="Y7" s="100" t="s">
        <v>1063</v>
      </c>
      <c r="Z7" s="100" t="s">
        <v>1063</v>
      </c>
      <c r="AA7" s="100" t="s">
        <v>1063</v>
      </c>
      <c r="AB7" s="100" t="s">
        <v>1063</v>
      </c>
      <c r="AC7" s="100" t="s">
        <v>1063</v>
      </c>
      <c r="AD7" s="100" t="s">
        <v>1063</v>
      </c>
      <c r="AE7" s="100" t="s">
        <v>1063</v>
      </c>
      <c r="AF7" s="100" t="s">
        <v>1063</v>
      </c>
      <c r="AG7" s="100" t="s">
        <v>1063</v>
      </c>
      <c r="AH7" s="100" t="s">
        <v>1063</v>
      </c>
      <c r="AI7" s="100" t="s">
        <v>1063</v>
      </c>
      <c r="AJ7" s="100" t="s">
        <v>1063</v>
      </c>
      <c r="AK7" s="100" t="s">
        <v>1063</v>
      </c>
      <c r="AL7" s="96" t="s">
        <v>1064</v>
      </c>
      <c r="AM7" s="96" t="s">
        <v>1064</v>
      </c>
      <c r="AN7" s="96" t="s">
        <v>1064</v>
      </c>
      <c r="AO7" s="96" t="s">
        <v>1064</v>
      </c>
      <c r="AP7" s="96" t="s">
        <v>1064</v>
      </c>
      <c r="AQ7" s="96" t="s">
        <v>1064</v>
      </c>
      <c r="AR7" s="96" t="s">
        <v>1064</v>
      </c>
      <c r="AS7" s="96" t="s">
        <v>1064</v>
      </c>
      <c r="AT7" s="96" t="s">
        <v>1064</v>
      </c>
      <c r="AU7" s="96" t="s">
        <v>1064</v>
      </c>
      <c r="AV7" s="96" t="s">
        <v>1064</v>
      </c>
      <c r="AW7" s="98" t="s">
        <v>1065</v>
      </c>
      <c r="AX7" s="98" t="s">
        <v>1065</v>
      </c>
      <c r="AY7" s="98" t="s">
        <v>1065</v>
      </c>
      <c r="AZ7" s="98" t="s">
        <v>1065</v>
      </c>
      <c r="BA7" s="98" t="s">
        <v>1065</v>
      </c>
      <c r="BB7" s="98" t="s">
        <v>1065</v>
      </c>
      <c r="BC7" s="98" t="s">
        <v>1065</v>
      </c>
      <c r="BD7" s="97" t="s">
        <v>456</v>
      </c>
      <c r="BE7" s="97" t="s">
        <v>456</v>
      </c>
      <c r="BF7" s="97" t="s">
        <v>456</v>
      </c>
      <c r="BG7" s="97" t="s">
        <v>456</v>
      </c>
      <c r="BH7" s="97" t="s">
        <v>456</v>
      </c>
      <c r="BI7" s="97" t="s">
        <v>456</v>
      </c>
      <c r="BJ7" s="97" t="s">
        <v>456</v>
      </c>
      <c r="BK7" s="97" t="s">
        <v>456</v>
      </c>
      <c r="BL7" s="97" t="s">
        <v>456</v>
      </c>
      <c r="BM7" s="97" t="s">
        <v>456</v>
      </c>
      <c r="BN7" s="97" t="s">
        <v>456</v>
      </c>
      <c r="BO7" s="97" t="s">
        <v>456</v>
      </c>
      <c r="BP7" s="97" t="s">
        <v>456</v>
      </c>
      <c r="BQ7" s="97" t="s">
        <v>456</v>
      </c>
      <c r="BR7" s="97" t="s">
        <v>456</v>
      </c>
      <c r="BS7" s="97" t="s">
        <v>456</v>
      </c>
      <c r="BT7" s="97" t="s">
        <v>456</v>
      </c>
      <c r="BU7" s="97" t="s">
        <v>456</v>
      </c>
      <c r="BV7" s="97" t="s">
        <v>456</v>
      </c>
      <c r="BW7" s="97" t="s">
        <v>456</v>
      </c>
      <c r="BX7" s="97" t="s">
        <v>456</v>
      </c>
      <c r="BY7" s="97" t="s">
        <v>456</v>
      </c>
      <c r="BZ7" s="97" t="s">
        <v>456</v>
      </c>
      <c r="CA7" s="97" t="s">
        <v>456</v>
      </c>
      <c r="CB7" s="97" t="s">
        <v>456</v>
      </c>
      <c r="CC7" s="97" t="s">
        <v>456</v>
      </c>
      <c r="CD7" s="97" t="s">
        <v>456</v>
      </c>
      <c r="CE7" s="97" t="s">
        <v>456</v>
      </c>
      <c r="CF7" s="97" t="s">
        <v>456</v>
      </c>
      <c r="CG7" s="97" t="s">
        <v>456</v>
      </c>
      <c r="CH7" s="97" t="s">
        <v>456</v>
      </c>
      <c r="CI7" s="97" t="s">
        <v>456</v>
      </c>
      <c r="CJ7" s="97" t="s">
        <v>456</v>
      </c>
      <c r="CK7" s="97" t="s">
        <v>456</v>
      </c>
      <c r="CL7" s="97" t="s">
        <v>456</v>
      </c>
      <c r="CM7" s="97" t="s">
        <v>456</v>
      </c>
      <c r="CN7" s="97" t="s">
        <v>456</v>
      </c>
      <c r="CO7" s="97" t="s">
        <v>456</v>
      </c>
      <c r="CP7" s="97" t="s">
        <v>456</v>
      </c>
      <c r="CQ7" s="97" t="s">
        <v>456</v>
      </c>
      <c r="CR7" s="97" t="s">
        <v>456</v>
      </c>
      <c r="CS7" s="97" t="s">
        <v>456</v>
      </c>
      <c r="CT7" s="97" t="s">
        <v>456</v>
      </c>
      <c r="CU7" s="97" t="s">
        <v>456</v>
      </c>
      <c r="CV7" s="190"/>
    </row>
    <row r="8" spans="1:100" ht="13.5" collapsed="1" thickBot="1" x14ac:dyDescent="0.25">
      <c r="A8" s="3"/>
      <c r="B8" s="12"/>
      <c r="C8" s="71"/>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89"/>
    </row>
    <row r="9" spans="1:100" x14ac:dyDescent="0.2">
      <c r="A9" s="3"/>
      <c r="B9" s="15" t="s">
        <v>45</v>
      </c>
      <c r="C9" s="33"/>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403"/>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88"/>
      <c r="CV9" s="189"/>
    </row>
    <row r="10" spans="1:100" s="10" customFormat="1" x14ac:dyDescent="0.2">
      <c r="A10" s="3" t="s">
        <v>102</v>
      </c>
      <c r="B10" s="25" t="s">
        <v>46</v>
      </c>
      <c r="C10" s="50">
        <f>SUM(D10:DX10)</f>
        <v>79031238.199999988</v>
      </c>
      <c r="D10" s="26">
        <v>0</v>
      </c>
      <c r="E10" s="26">
        <v>0</v>
      </c>
      <c r="F10" s="26">
        <v>241582.33</v>
      </c>
      <c r="G10" s="26">
        <v>27458072.98</v>
      </c>
      <c r="H10" s="26">
        <v>141136.5</v>
      </c>
      <c r="I10" s="26">
        <v>0</v>
      </c>
      <c r="J10" s="26">
        <v>2471902.38</v>
      </c>
      <c r="K10" s="26">
        <v>486596</v>
      </c>
      <c r="L10" s="26">
        <v>317145.7</v>
      </c>
      <c r="M10" s="26">
        <v>390443</v>
      </c>
      <c r="N10" s="26">
        <v>9417439</v>
      </c>
      <c r="O10" s="26">
        <v>1152552.25</v>
      </c>
      <c r="P10" s="26">
        <v>717289.76</v>
      </c>
      <c r="Q10" s="26">
        <v>2303479.4</v>
      </c>
      <c r="R10" s="26">
        <v>75000</v>
      </c>
      <c r="S10" s="26">
        <v>242293</v>
      </c>
      <c r="T10" s="26">
        <v>333735</v>
      </c>
      <c r="U10" s="26">
        <v>145451.60999999999</v>
      </c>
      <c r="V10" s="26">
        <v>372748.46</v>
      </c>
      <c r="W10" s="26">
        <v>311138.53000000003</v>
      </c>
      <c r="X10" s="26">
        <v>47606.81</v>
      </c>
      <c r="Y10" s="26">
        <v>3924.26</v>
      </c>
      <c r="Z10" s="26">
        <v>2102920.5499999998</v>
      </c>
      <c r="AA10" s="26">
        <v>0</v>
      </c>
      <c r="AB10" s="26">
        <v>900</v>
      </c>
      <c r="AC10" s="26">
        <v>279877.73</v>
      </c>
      <c r="AD10" s="26">
        <v>389438</v>
      </c>
      <c r="AE10" s="26">
        <v>1581641.28</v>
      </c>
      <c r="AF10" s="26">
        <v>466453</v>
      </c>
      <c r="AG10" s="26">
        <v>171457</v>
      </c>
      <c r="AH10" s="26">
        <v>31814</v>
      </c>
      <c r="AI10" s="26">
        <v>539791</v>
      </c>
      <c r="AJ10" s="26">
        <v>60776</v>
      </c>
      <c r="AK10" s="26">
        <v>12084</v>
      </c>
      <c r="AL10" s="26">
        <v>38462.53</v>
      </c>
      <c r="AM10" s="26">
        <v>488425.83</v>
      </c>
      <c r="AN10" s="26">
        <v>71811</v>
      </c>
      <c r="AO10" s="26">
        <v>12440.47</v>
      </c>
      <c r="AP10" s="26">
        <v>508436</v>
      </c>
      <c r="AQ10" s="26">
        <v>169200</v>
      </c>
      <c r="AR10" s="26">
        <v>854185</v>
      </c>
      <c r="AS10" s="26">
        <v>188851</v>
      </c>
      <c r="AT10" s="26">
        <v>231856</v>
      </c>
      <c r="AU10" s="26">
        <v>3328440</v>
      </c>
      <c r="AV10" s="26">
        <v>253</v>
      </c>
      <c r="AW10" s="26">
        <v>2278425</v>
      </c>
      <c r="AX10" s="26">
        <v>0</v>
      </c>
      <c r="AY10" s="26">
        <v>196027</v>
      </c>
      <c r="AZ10" s="26">
        <v>2164874</v>
      </c>
      <c r="BA10" s="26">
        <v>341017</v>
      </c>
      <c r="BB10" s="26">
        <v>1285261</v>
      </c>
      <c r="BC10" s="26">
        <v>417744</v>
      </c>
      <c r="BD10" s="179">
        <v>1370666.76</v>
      </c>
      <c r="BE10" s="26">
        <v>902329.08</v>
      </c>
      <c r="BF10" s="26">
        <v>0</v>
      </c>
      <c r="BG10" s="26">
        <v>0</v>
      </c>
      <c r="BH10" s="26">
        <v>0</v>
      </c>
      <c r="BI10" s="26">
        <v>0</v>
      </c>
      <c r="BJ10" s="26">
        <v>0</v>
      </c>
      <c r="BK10" s="26">
        <v>0</v>
      </c>
      <c r="BL10" s="26">
        <v>72193</v>
      </c>
      <c r="BM10" s="26">
        <v>572536</v>
      </c>
      <c r="BN10" s="26">
        <v>63326</v>
      </c>
      <c r="BO10" s="26">
        <v>51521</v>
      </c>
      <c r="BP10" s="26">
        <v>122247</v>
      </c>
      <c r="BQ10" s="26">
        <v>4487</v>
      </c>
      <c r="BR10" s="26">
        <v>127156</v>
      </c>
      <c r="BS10" s="26">
        <v>-7575</v>
      </c>
      <c r="BT10" s="26">
        <v>136587</v>
      </c>
      <c r="BU10" s="26">
        <v>1321508</v>
      </c>
      <c r="BV10" s="26">
        <v>621669</v>
      </c>
      <c r="BW10" s="26">
        <v>1081469</v>
      </c>
      <c r="BX10" s="26">
        <v>0</v>
      </c>
      <c r="BY10" s="26">
        <v>73279</v>
      </c>
      <c r="BZ10" s="26">
        <v>-41317</v>
      </c>
      <c r="CA10" s="26">
        <v>131398</v>
      </c>
      <c r="CB10" s="26">
        <v>175000</v>
      </c>
      <c r="CC10" s="26">
        <v>10000</v>
      </c>
      <c r="CD10" s="26">
        <v>380000</v>
      </c>
      <c r="CE10" s="26">
        <v>210000</v>
      </c>
      <c r="CF10" s="26">
        <v>135000</v>
      </c>
      <c r="CG10" s="26">
        <v>279176</v>
      </c>
      <c r="CH10" s="26">
        <v>1172346</v>
      </c>
      <c r="CI10" s="26">
        <v>2852898</v>
      </c>
      <c r="CJ10" s="26">
        <v>1651768</v>
      </c>
      <c r="CK10" s="26">
        <v>37967</v>
      </c>
      <c r="CL10" s="26">
        <v>193080</v>
      </c>
      <c r="CM10" s="26">
        <v>248872</v>
      </c>
      <c r="CN10" s="26">
        <v>3200</v>
      </c>
      <c r="CO10" s="26">
        <v>1600</v>
      </c>
      <c r="CP10" s="26">
        <v>159068</v>
      </c>
      <c r="CQ10" s="26">
        <v>135</v>
      </c>
      <c r="CR10" s="26">
        <v>180</v>
      </c>
      <c r="CS10" s="26">
        <v>22425</v>
      </c>
      <c r="CT10" s="26">
        <v>48851</v>
      </c>
      <c r="CU10" s="352">
        <v>3794</v>
      </c>
      <c r="CV10" s="189"/>
    </row>
    <row r="11" spans="1:100" s="10" customFormat="1" ht="26.25" thickBot="1" x14ac:dyDescent="0.25">
      <c r="A11" s="3" t="s">
        <v>103</v>
      </c>
      <c r="B11" s="46" t="s">
        <v>132</v>
      </c>
      <c r="C11" s="52"/>
      <c r="D11" s="83" t="s">
        <v>173</v>
      </c>
      <c r="E11" s="83" t="s">
        <v>173</v>
      </c>
      <c r="F11" s="83" t="s">
        <v>173</v>
      </c>
      <c r="G11" s="83" t="s">
        <v>173</v>
      </c>
      <c r="H11" s="83" t="s">
        <v>173</v>
      </c>
      <c r="I11" s="83" t="s">
        <v>210</v>
      </c>
      <c r="J11" s="83" t="s">
        <v>210</v>
      </c>
      <c r="K11" s="83" t="s">
        <v>210</v>
      </c>
      <c r="L11" s="83" t="s">
        <v>1149</v>
      </c>
      <c r="M11" s="83" t="s">
        <v>210</v>
      </c>
      <c r="N11" s="83" t="s">
        <v>210</v>
      </c>
      <c r="O11" s="83" t="s">
        <v>210</v>
      </c>
      <c r="P11" s="83" t="s">
        <v>210</v>
      </c>
      <c r="Q11" s="83" t="s">
        <v>210</v>
      </c>
      <c r="R11" s="83" t="s">
        <v>210</v>
      </c>
      <c r="S11" s="83" t="s">
        <v>210</v>
      </c>
      <c r="T11" s="83" t="s">
        <v>210</v>
      </c>
      <c r="U11" s="83" t="s">
        <v>210</v>
      </c>
      <c r="V11" s="83" t="s">
        <v>210</v>
      </c>
      <c r="W11" s="83" t="s">
        <v>210</v>
      </c>
      <c r="X11" s="83" t="s">
        <v>210</v>
      </c>
      <c r="Y11" s="83" t="s">
        <v>210</v>
      </c>
      <c r="Z11" s="83" t="s">
        <v>210</v>
      </c>
      <c r="AA11" s="83" t="s">
        <v>210</v>
      </c>
      <c r="AB11" s="83" t="s">
        <v>210</v>
      </c>
      <c r="AC11" s="83" t="s">
        <v>210</v>
      </c>
      <c r="AD11" s="83" t="s">
        <v>210</v>
      </c>
      <c r="AE11" s="83" t="s">
        <v>210</v>
      </c>
      <c r="AF11" s="83" t="s">
        <v>210</v>
      </c>
      <c r="AG11" s="83" t="s">
        <v>210</v>
      </c>
      <c r="AH11" s="83" t="s">
        <v>210</v>
      </c>
      <c r="AI11" s="83" t="s">
        <v>210</v>
      </c>
      <c r="AJ11" s="83" t="s">
        <v>210</v>
      </c>
      <c r="AK11" s="83" t="s">
        <v>210</v>
      </c>
      <c r="AL11" s="83" t="s">
        <v>210</v>
      </c>
      <c r="AM11" s="83" t="s">
        <v>210</v>
      </c>
      <c r="AN11" s="83" t="s">
        <v>210</v>
      </c>
      <c r="AO11" s="83" t="s">
        <v>210</v>
      </c>
      <c r="AP11" s="83" t="s">
        <v>1150</v>
      </c>
      <c r="AQ11" s="83" t="s">
        <v>210</v>
      </c>
      <c r="AR11" s="83" t="s">
        <v>210</v>
      </c>
      <c r="AS11" s="83" t="s">
        <v>210</v>
      </c>
      <c r="AT11" s="83" t="s">
        <v>210</v>
      </c>
      <c r="AU11" s="83" t="s">
        <v>210</v>
      </c>
      <c r="AV11" s="83" t="s">
        <v>210</v>
      </c>
      <c r="AW11" s="83" t="s">
        <v>210</v>
      </c>
      <c r="AX11" s="83" t="s">
        <v>210</v>
      </c>
      <c r="AY11" s="83" t="s">
        <v>210</v>
      </c>
      <c r="AZ11" s="83" t="s">
        <v>210</v>
      </c>
      <c r="BA11" s="83" t="s">
        <v>210</v>
      </c>
      <c r="BB11" s="83" t="s">
        <v>210</v>
      </c>
      <c r="BC11" s="83" t="s">
        <v>210</v>
      </c>
      <c r="BD11" s="389" t="s">
        <v>210</v>
      </c>
      <c r="BE11" s="83" t="s">
        <v>210</v>
      </c>
      <c r="BF11" s="83" t="s">
        <v>210</v>
      </c>
      <c r="BG11" s="83" t="s">
        <v>210</v>
      </c>
      <c r="BH11" s="83" t="s">
        <v>210</v>
      </c>
      <c r="BI11" s="83" t="s">
        <v>210</v>
      </c>
      <c r="BJ11" s="83" t="s">
        <v>210</v>
      </c>
      <c r="BK11" s="83" t="s">
        <v>210</v>
      </c>
      <c r="BL11" s="83" t="s">
        <v>210</v>
      </c>
      <c r="BM11" s="83" t="s">
        <v>210</v>
      </c>
      <c r="BN11" s="83" t="s">
        <v>210</v>
      </c>
      <c r="BO11" s="83" t="s">
        <v>210</v>
      </c>
      <c r="BP11" s="83" t="s">
        <v>210</v>
      </c>
      <c r="BQ11" s="83" t="s">
        <v>210</v>
      </c>
      <c r="BR11" s="83" t="s">
        <v>210</v>
      </c>
      <c r="BS11" s="83" t="s">
        <v>210</v>
      </c>
      <c r="BT11" s="83" t="s">
        <v>210</v>
      </c>
      <c r="BU11" s="83" t="s">
        <v>210</v>
      </c>
      <c r="BV11" s="83" t="s">
        <v>210</v>
      </c>
      <c r="BW11" s="83" t="s">
        <v>210</v>
      </c>
      <c r="BX11" s="83" t="s">
        <v>210</v>
      </c>
      <c r="BY11" s="83" t="s">
        <v>210</v>
      </c>
      <c r="BZ11" s="83" t="s">
        <v>210</v>
      </c>
      <c r="CA11" s="83" t="s">
        <v>210</v>
      </c>
      <c r="CB11" s="83" t="s">
        <v>210</v>
      </c>
      <c r="CC11" s="83" t="s">
        <v>210</v>
      </c>
      <c r="CD11" s="83" t="s">
        <v>210</v>
      </c>
      <c r="CE11" s="83" t="s">
        <v>210</v>
      </c>
      <c r="CF11" s="83" t="s">
        <v>210</v>
      </c>
      <c r="CG11" s="83" t="s">
        <v>210</v>
      </c>
      <c r="CH11" s="83" t="s">
        <v>210</v>
      </c>
      <c r="CI11" s="83" t="s">
        <v>210</v>
      </c>
      <c r="CJ11" s="83" t="s">
        <v>210</v>
      </c>
      <c r="CK11" s="83" t="s">
        <v>210</v>
      </c>
      <c r="CL11" s="83" t="s">
        <v>210</v>
      </c>
      <c r="CM11" s="83" t="s">
        <v>210</v>
      </c>
      <c r="CN11" s="83" t="s">
        <v>210</v>
      </c>
      <c r="CO11" s="83" t="s">
        <v>210</v>
      </c>
      <c r="CP11" s="83" t="s">
        <v>210</v>
      </c>
      <c r="CQ11" s="83" t="s">
        <v>210</v>
      </c>
      <c r="CR11" s="83" t="s">
        <v>210</v>
      </c>
      <c r="CS11" s="83" t="s">
        <v>210</v>
      </c>
      <c r="CT11" s="83" t="s">
        <v>210</v>
      </c>
      <c r="CU11" s="390" t="s">
        <v>210</v>
      </c>
      <c r="CV11" s="189"/>
    </row>
    <row r="12" spans="1:100" s="10" customFormat="1" ht="13.5" outlineLevel="1" thickBot="1" x14ac:dyDescent="0.25">
      <c r="A12" s="3"/>
      <c r="B12" s="12"/>
      <c r="C12" s="71"/>
      <c r="CV12" s="189"/>
    </row>
    <row r="13" spans="1:100" s="10" customFormat="1" outlineLevel="1" x14ac:dyDescent="0.2">
      <c r="A13" s="3"/>
      <c r="B13" s="15" t="s">
        <v>92</v>
      </c>
      <c r="C13" s="16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381"/>
      <c r="CV13" s="189"/>
    </row>
    <row r="14" spans="1:100" s="10" customFormat="1" ht="51" outlineLevel="1" x14ac:dyDescent="0.2">
      <c r="A14" s="3" t="s">
        <v>104</v>
      </c>
      <c r="B14" s="25" t="s">
        <v>1008</v>
      </c>
      <c r="C14" s="70" t="s">
        <v>34</v>
      </c>
      <c r="D14" s="16">
        <v>10010000</v>
      </c>
      <c r="E14" s="16">
        <v>10010000</v>
      </c>
      <c r="F14" s="16" t="s">
        <v>172</v>
      </c>
      <c r="G14" s="16" t="s">
        <v>168</v>
      </c>
      <c r="H14" s="16" t="s">
        <v>169</v>
      </c>
      <c r="I14" s="16" t="s">
        <v>197</v>
      </c>
      <c r="J14" s="16" t="s">
        <v>207</v>
      </c>
      <c r="K14" s="16" t="s">
        <v>255</v>
      </c>
      <c r="L14" s="16">
        <v>38000004</v>
      </c>
      <c r="M14" s="16">
        <v>46050000</v>
      </c>
      <c r="N14" s="16">
        <v>46090000</v>
      </c>
      <c r="O14" s="16">
        <v>30350065</v>
      </c>
      <c r="P14" s="16">
        <v>32850001</v>
      </c>
      <c r="Q14" s="16">
        <v>38000001</v>
      </c>
      <c r="R14" s="16">
        <v>38000005</v>
      </c>
      <c r="S14" s="16">
        <v>46090001</v>
      </c>
      <c r="T14" s="16" t="s">
        <v>285</v>
      </c>
      <c r="U14" s="16">
        <v>30350000</v>
      </c>
      <c r="V14" s="16">
        <v>30350066</v>
      </c>
      <c r="W14" s="16">
        <v>30350070</v>
      </c>
      <c r="X14" s="16">
        <v>30350071</v>
      </c>
      <c r="Y14" s="16">
        <v>38000000</v>
      </c>
      <c r="Z14" s="16">
        <v>38000002</v>
      </c>
      <c r="AA14" s="16">
        <v>30690000</v>
      </c>
      <c r="AB14" s="16">
        <v>30980000</v>
      </c>
      <c r="AC14" s="16">
        <v>32850000</v>
      </c>
      <c r="AD14" s="16">
        <v>32850002</v>
      </c>
      <c r="AE14" s="16">
        <v>32850004</v>
      </c>
      <c r="AF14" s="16">
        <v>46070000</v>
      </c>
      <c r="AG14" s="16">
        <v>46080000</v>
      </c>
      <c r="AH14" s="16">
        <v>46090002</v>
      </c>
      <c r="AI14" s="16">
        <v>46090008</v>
      </c>
      <c r="AJ14" s="16" t="s">
        <v>273</v>
      </c>
      <c r="AK14" s="16" t="s">
        <v>283</v>
      </c>
      <c r="AL14" s="16">
        <v>30350069</v>
      </c>
      <c r="AM14" s="16">
        <v>32850003</v>
      </c>
      <c r="AN14" s="16">
        <v>38000003</v>
      </c>
      <c r="AO14" s="16">
        <v>39120000</v>
      </c>
      <c r="AP14" s="16">
        <v>33487000</v>
      </c>
      <c r="AQ14" s="16">
        <v>41890000</v>
      </c>
      <c r="AR14" s="16">
        <v>43970000</v>
      </c>
      <c r="AS14" s="16">
        <v>43970001</v>
      </c>
      <c r="AT14" s="16">
        <v>45200000</v>
      </c>
      <c r="AU14" s="16">
        <v>46640000</v>
      </c>
      <c r="AV14" s="16" t="s">
        <v>267</v>
      </c>
      <c r="AW14" s="16">
        <v>30350067</v>
      </c>
      <c r="AX14" s="16">
        <v>43970003</v>
      </c>
      <c r="AY14" s="16" t="s">
        <v>257</v>
      </c>
      <c r="AZ14" s="16" t="s">
        <v>281</v>
      </c>
      <c r="BA14" s="16" t="s">
        <v>279</v>
      </c>
      <c r="BB14" s="16" t="s">
        <v>277</v>
      </c>
      <c r="BC14" s="16" t="s">
        <v>275</v>
      </c>
      <c r="BD14" s="16">
        <v>30350068</v>
      </c>
      <c r="BE14" s="16">
        <v>30350078</v>
      </c>
      <c r="BF14" s="16">
        <v>30350081</v>
      </c>
      <c r="BG14" s="16">
        <v>30350097</v>
      </c>
      <c r="BH14" s="16">
        <v>37050000</v>
      </c>
      <c r="BI14" s="16">
        <v>37050001</v>
      </c>
      <c r="BJ14" s="16">
        <v>41250000</v>
      </c>
      <c r="BK14" s="16">
        <v>41257000</v>
      </c>
      <c r="BL14" s="16">
        <v>43730000</v>
      </c>
      <c r="BM14" s="16">
        <v>43950000</v>
      </c>
      <c r="BN14" s="16">
        <v>43950001</v>
      </c>
      <c r="BO14" s="16">
        <v>43950002</v>
      </c>
      <c r="BP14" s="16">
        <v>43950003</v>
      </c>
      <c r="BQ14" s="16">
        <v>43950004</v>
      </c>
      <c r="BR14" s="16">
        <v>43950005</v>
      </c>
      <c r="BS14" s="16">
        <v>43950006</v>
      </c>
      <c r="BT14" s="16">
        <v>43950007</v>
      </c>
      <c r="BU14" s="16">
        <v>43957008</v>
      </c>
      <c r="BV14" s="16">
        <v>43950009</v>
      </c>
      <c r="BW14" s="16">
        <v>43970002</v>
      </c>
      <c r="BX14" s="16">
        <v>45390000</v>
      </c>
      <c r="BY14" s="16">
        <v>45390001</v>
      </c>
      <c r="BZ14" s="16">
        <v>43950002</v>
      </c>
      <c r="CA14" s="16">
        <v>45390003</v>
      </c>
      <c r="CB14" s="16">
        <v>45390005</v>
      </c>
      <c r="CC14" s="16">
        <v>45390006</v>
      </c>
      <c r="CD14" s="16">
        <v>45390007</v>
      </c>
      <c r="CE14" s="16">
        <v>45390008</v>
      </c>
      <c r="CF14" s="16">
        <v>45390009</v>
      </c>
      <c r="CG14" s="16">
        <v>46090003</v>
      </c>
      <c r="CH14" s="16">
        <v>46090004</v>
      </c>
      <c r="CI14" s="16">
        <v>46090005</v>
      </c>
      <c r="CJ14" s="16">
        <v>46090006</v>
      </c>
      <c r="CK14" s="16">
        <v>46090007</v>
      </c>
      <c r="CL14" s="16">
        <v>46090009</v>
      </c>
      <c r="CM14" s="16">
        <v>46090010</v>
      </c>
      <c r="CN14" s="16">
        <v>46090011</v>
      </c>
      <c r="CO14" s="16">
        <v>46090012</v>
      </c>
      <c r="CP14" s="16">
        <v>46090013</v>
      </c>
      <c r="CQ14" s="16">
        <v>46090014</v>
      </c>
      <c r="CR14" s="16">
        <v>46090015</v>
      </c>
      <c r="CS14" s="16">
        <v>46090016</v>
      </c>
      <c r="CT14" s="16">
        <v>46090017</v>
      </c>
      <c r="CU14" s="391">
        <v>47950000</v>
      </c>
      <c r="CV14" s="189"/>
    </row>
    <row r="15" spans="1:100" ht="64.5" outlineLevel="1" thickBot="1" x14ac:dyDescent="0.25">
      <c r="A15" s="3" t="s">
        <v>105</v>
      </c>
      <c r="B15" s="46" t="s">
        <v>37</v>
      </c>
      <c r="C15" s="72" t="s">
        <v>34</v>
      </c>
      <c r="D15" s="61" t="s">
        <v>173</v>
      </c>
      <c r="E15" s="61" t="s">
        <v>173</v>
      </c>
      <c r="F15" s="61" t="s">
        <v>174</v>
      </c>
      <c r="G15" s="61" t="s">
        <v>159</v>
      </c>
      <c r="H15" s="61" t="s">
        <v>170</v>
      </c>
      <c r="I15" s="61" t="s">
        <v>198</v>
      </c>
      <c r="J15" s="61" t="s">
        <v>208</v>
      </c>
      <c r="K15" s="61" t="s">
        <v>256</v>
      </c>
      <c r="L15" s="61" t="s">
        <v>205</v>
      </c>
      <c r="M15" s="61" t="s">
        <v>240</v>
      </c>
      <c r="N15" s="61" t="s">
        <v>270</v>
      </c>
      <c r="O15" s="61" t="s">
        <v>187</v>
      </c>
      <c r="P15" s="61" t="s">
        <v>182</v>
      </c>
      <c r="Q15" s="61" t="s">
        <v>202</v>
      </c>
      <c r="R15" s="61" t="s">
        <v>206</v>
      </c>
      <c r="S15" s="61" t="s">
        <v>287</v>
      </c>
      <c r="T15" s="61" t="s">
        <v>286</v>
      </c>
      <c r="U15" s="61" t="s">
        <v>224</v>
      </c>
      <c r="V15" s="61" t="s">
        <v>787</v>
      </c>
      <c r="W15" s="61" t="s">
        <v>191</v>
      </c>
      <c r="X15" s="61" t="s">
        <v>192</v>
      </c>
      <c r="Y15" s="61" t="s">
        <v>201</v>
      </c>
      <c r="Z15" s="61" t="s">
        <v>203</v>
      </c>
      <c r="AA15" s="61" t="s">
        <v>186</v>
      </c>
      <c r="AB15" s="61" t="s">
        <v>196</v>
      </c>
      <c r="AC15" s="61" t="s">
        <v>181</v>
      </c>
      <c r="AD15" s="61" t="s">
        <v>183</v>
      </c>
      <c r="AE15" s="61" t="s">
        <v>185</v>
      </c>
      <c r="AF15" s="61" t="s">
        <v>269</v>
      </c>
      <c r="AG15" s="61" t="s">
        <v>268</v>
      </c>
      <c r="AH15" s="61" t="s">
        <v>288</v>
      </c>
      <c r="AI15" s="61" t="s">
        <v>294</v>
      </c>
      <c r="AJ15" s="61" t="s">
        <v>274</v>
      </c>
      <c r="AK15" s="61" t="s">
        <v>284</v>
      </c>
      <c r="AL15" s="61" t="s">
        <v>190</v>
      </c>
      <c r="AM15" s="61" t="s">
        <v>184</v>
      </c>
      <c r="AN15" s="61" t="s">
        <v>204</v>
      </c>
      <c r="AO15" s="61" t="s">
        <v>209</v>
      </c>
      <c r="AP15" s="61" t="s">
        <v>180</v>
      </c>
      <c r="AQ15" s="61" t="s">
        <v>248</v>
      </c>
      <c r="AR15" s="61" t="s">
        <v>251</v>
      </c>
      <c r="AS15" s="61" t="s">
        <v>252</v>
      </c>
      <c r="AT15" s="61" t="s">
        <v>259</v>
      </c>
      <c r="AU15" s="61" t="s">
        <v>271</v>
      </c>
      <c r="AV15" s="61" t="s">
        <v>788</v>
      </c>
      <c r="AW15" s="61" t="s">
        <v>188</v>
      </c>
      <c r="AX15" s="61" t="s">
        <v>254</v>
      </c>
      <c r="AY15" s="61" t="s">
        <v>258</v>
      </c>
      <c r="AZ15" s="61" t="s">
        <v>282</v>
      </c>
      <c r="BA15" s="61" t="s">
        <v>280</v>
      </c>
      <c r="BB15" s="61" t="s">
        <v>278</v>
      </c>
      <c r="BC15" s="61" t="s">
        <v>276</v>
      </c>
      <c r="BD15" s="61" t="s">
        <v>189</v>
      </c>
      <c r="BE15" s="61" t="s">
        <v>193</v>
      </c>
      <c r="BF15" s="61" t="s">
        <v>194</v>
      </c>
      <c r="BG15" s="61" t="s">
        <v>195</v>
      </c>
      <c r="BH15" s="61" t="s">
        <v>199</v>
      </c>
      <c r="BI15" s="61" t="s">
        <v>200</v>
      </c>
      <c r="BJ15" s="61" t="s">
        <v>250</v>
      </c>
      <c r="BK15" s="61" t="s">
        <v>249</v>
      </c>
      <c r="BL15" s="61" t="s">
        <v>247</v>
      </c>
      <c r="BM15" s="61" t="s">
        <v>789</v>
      </c>
      <c r="BN15" s="61" t="s">
        <v>790</v>
      </c>
      <c r="BO15" s="61" t="s">
        <v>791</v>
      </c>
      <c r="BP15" s="61" t="s">
        <v>792</v>
      </c>
      <c r="BQ15" s="61" t="s">
        <v>793</v>
      </c>
      <c r="BR15" s="61" t="s">
        <v>794</v>
      </c>
      <c r="BS15" s="61" t="s">
        <v>795</v>
      </c>
      <c r="BT15" s="61" t="s">
        <v>796</v>
      </c>
      <c r="BU15" s="61" t="s">
        <v>797</v>
      </c>
      <c r="BV15" s="61" t="s">
        <v>798</v>
      </c>
      <c r="BW15" s="61" t="s">
        <v>253</v>
      </c>
      <c r="BX15" s="61" t="s">
        <v>260</v>
      </c>
      <c r="BY15" s="61" t="s">
        <v>261</v>
      </c>
      <c r="BZ15" s="61" t="s">
        <v>799</v>
      </c>
      <c r="CA15" s="61" t="s">
        <v>262</v>
      </c>
      <c r="CB15" s="61" t="s">
        <v>263</v>
      </c>
      <c r="CC15" s="61" t="s">
        <v>264</v>
      </c>
      <c r="CD15" s="61" t="s">
        <v>800</v>
      </c>
      <c r="CE15" s="61" t="s">
        <v>266</v>
      </c>
      <c r="CF15" s="61" t="s">
        <v>265</v>
      </c>
      <c r="CG15" s="61" t="s">
        <v>289</v>
      </c>
      <c r="CH15" s="61" t="s">
        <v>290</v>
      </c>
      <c r="CI15" s="61" t="s">
        <v>291</v>
      </c>
      <c r="CJ15" s="61" t="s">
        <v>292</v>
      </c>
      <c r="CK15" s="61" t="s">
        <v>293</v>
      </c>
      <c r="CL15" s="61" t="s">
        <v>295</v>
      </c>
      <c r="CM15" s="61" t="s">
        <v>296</v>
      </c>
      <c r="CN15" s="61" t="s">
        <v>297</v>
      </c>
      <c r="CO15" s="61" t="s">
        <v>298</v>
      </c>
      <c r="CP15" s="61" t="s">
        <v>299</v>
      </c>
      <c r="CQ15" s="61" t="s">
        <v>300</v>
      </c>
      <c r="CR15" s="61" t="s">
        <v>301</v>
      </c>
      <c r="CS15" s="61" t="s">
        <v>302</v>
      </c>
      <c r="CT15" s="61" t="s">
        <v>303</v>
      </c>
      <c r="CU15" s="379" t="s">
        <v>272</v>
      </c>
      <c r="CV15" s="189"/>
    </row>
    <row r="16" spans="1:100" ht="13.5" thickBot="1" x14ac:dyDescent="0.25">
      <c r="A16" s="3"/>
      <c r="B16" s="12"/>
      <c r="C16" s="73"/>
      <c r="CV16" s="189"/>
    </row>
    <row r="17" spans="1:100" x14ac:dyDescent="0.2">
      <c r="A17" s="3"/>
      <c r="B17" s="15" t="s">
        <v>47</v>
      </c>
      <c r="C17" s="33"/>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380"/>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381"/>
      <c r="CV17" s="189"/>
    </row>
    <row r="18" spans="1:100" ht="13.5" thickBot="1" x14ac:dyDescent="0.25">
      <c r="A18" s="3" t="s">
        <v>106</v>
      </c>
      <c r="B18" s="397" t="s">
        <v>1066</v>
      </c>
      <c r="C18" s="51">
        <f>SUM(D18:DX18)</f>
        <v>76896247.720000014</v>
      </c>
      <c r="D18" s="28">
        <v>0</v>
      </c>
      <c r="E18" s="29">
        <v>0</v>
      </c>
      <c r="F18" s="29">
        <v>0</v>
      </c>
      <c r="G18" s="29">
        <v>-4531165.5999999996</v>
      </c>
      <c r="H18" s="29">
        <v>-367160.35</v>
      </c>
      <c r="I18" s="29">
        <v>1113088.32</v>
      </c>
      <c r="J18" s="29">
        <v>2995641.13</v>
      </c>
      <c r="K18" s="29">
        <v>1474801.17</v>
      </c>
      <c r="L18" s="29">
        <v>368025</v>
      </c>
      <c r="M18" s="29">
        <v>3076037.24</v>
      </c>
      <c r="N18" s="29">
        <v>882962.54</v>
      </c>
      <c r="O18" s="29">
        <v>759873.3</v>
      </c>
      <c r="P18" s="29">
        <v>548182.17000000004</v>
      </c>
      <c r="Q18" s="29">
        <v>555304.16</v>
      </c>
      <c r="R18" s="29">
        <v>132623.97</v>
      </c>
      <c r="S18" s="29">
        <v>540205.84</v>
      </c>
      <c r="T18" s="29">
        <v>695910.56</v>
      </c>
      <c r="U18" s="29">
        <v>487157</v>
      </c>
      <c r="V18" s="29">
        <v>603641.79</v>
      </c>
      <c r="W18" s="29">
        <v>313730.37</v>
      </c>
      <c r="X18" s="29">
        <v>33915.54</v>
      </c>
      <c r="Y18" s="29">
        <v>12658.38</v>
      </c>
      <c r="Z18" s="29">
        <v>320644.88</v>
      </c>
      <c r="AA18" s="29">
        <v>237993.55</v>
      </c>
      <c r="AB18" s="29">
        <v>4993.9399999999996</v>
      </c>
      <c r="AC18" s="29">
        <v>3881351.52</v>
      </c>
      <c r="AD18" s="29">
        <v>80386.94</v>
      </c>
      <c r="AE18" s="29">
        <v>13251695.67</v>
      </c>
      <c r="AF18" s="29">
        <v>4838322.13</v>
      </c>
      <c r="AG18" s="29">
        <v>289641.65000000002</v>
      </c>
      <c r="AH18" s="29">
        <v>73501.679999999993</v>
      </c>
      <c r="AI18" s="29">
        <v>613396.92000000004</v>
      </c>
      <c r="AJ18" s="29">
        <v>60776.39</v>
      </c>
      <c r="AK18" s="29">
        <v>5439.29</v>
      </c>
      <c r="AL18" s="29">
        <v>145925.4</v>
      </c>
      <c r="AM18" s="29">
        <v>474494.16</v>
      </c>
      <c r="AN18" s="29">
        <v>18933.48</v>
      </c>
      <c r="AO18" s="29">
        <v>30418.69</v>
      </c>
      <c r="AP18" s="29">
        <v>0</v>
      </c>
      <c r="AQ18" s="29">
        <v>401631.5</v>
      </c>
      <c r="AR18" s="29">
        <v>525748.96</v>
      </c>
      <c r="AS18" s="29">
        <v>759385.66</v>
      </c>
      <c r="AT18" s="29">
        <v>566256.34</v>
      </c>
      <c r="AU18" s="29">
        <v>2665946.36</v>
      </c>
      <c r="AV18" s="29">
        <v>20135.080000000002</v>
      </c>
      <c r="AW18" s="29">
        <v>713177.78</v>
      </c>
      <c r="AX18" s="29">
        <v>0</v>
      </c>
      <c r="AY18" s="29">
        <v>599280.48</v>
      </c>
      <c r="AZ18" s="29">
        <v>1427810.72</v>
      </c>
      <c r="BA18" s="29">
        <v>175648.71</v>
      </c>
      <c r="BB18" s="29">
        <v>1295091.8500000001</v>
      </c>
      <c r="BC18" s="29">
        <v>348359.47</v>
      </c>
      <c r="BD18" s="180">
        <v>2119744.4500000002</v>
      </c>
      <c r="BE18" s="47">
        <v>166965.72</v>
      </c>
      <c r="BF18" s="47">
        <v>0</v>
      </c>
      <c r="BG18" s="47">
        <v>0</v>
      </c>
      <c r="BH18" s="47">
        <v>0</v>
      </c>
      <c r="BI18" s="47">
        <v>0</v>
      </c>
      <c r="BJ18" s="47">
        <v>0</v>
      </c>
      <c r="BK18" s="47">
        <v>0</v>
      </c>
      <c r="BL18" s="47">
        <v>167249.9</v>
      </c>
      <c r="BM18" s="47">
        <v>2897373.76</v>
      </c>
      <c r="BN18" s="47">
        <v>821810.17</v>
      </c>
      <c r="BO18" s="47">
        <v>769482.5</v>
      </c>
      <c r="BP18" s="47">
        <v>13184.33</v>
      </c>
      <c r="BQ18" s="47">
        <v>431900.95</v>
      </c>
      <c r="BR18" s="47">
        <v>4420008.59</v>
      </c>
      <c r="BS18" s="47">
        <v>204896.36</v>
      </c>
      <c r="BT18" s="47">
        <v>4948983.3</v>
      </c>
      <c r="BU18" s="47">
        <v>3836033.48</v>
      </c>
      <c r="BV18" s="47">
        <v>1255936.56</v>
      </c>
      <c r="BW18" s="47">
        <v>1682524.25</v>
      </c>
      <c r="BX18" s="47">
        <v>99291.98</v>
      </c>
      <c r="BY18" s="47">
        <v>13185.23</v>
      </c>
      <c r="BZ18" s="47">
        <v>0</v>
      </c>
      <c r="CA18" s="47">
        <v>150000</v>
      </c>
      <c r="CB18" s="47">
        <v>54781.64</v>
      </c>
      <c r="CC18" s="47">
        <v>0</v>
      </c>
      <c r="CD18" s="47">
        <v>252774.19</v>
      </c>
      <c r="CE18" s="47">
        <v>283260.37</v>
      </c>
      <c r="CF18" s="47">
        <v>24799.08</v>
      </c>
      <c r="CG18" s="47">
        <v>201618.75</v>
      </c>
      <c r="CH18" s="47">
        <v>2797245.45</v>
      </c>
      <c r="CI18" s="47">
        <v>3782797.42</v>
      </c>
      <c r="CJ18" s="47">
        <v>87300.14</v>
      </c>
      <c r="CK18" s="47">
        <v>58881.57</v>
      </c>
      <c r="CL18" s="47">
        <v>463876.53</v>
      </c>
      <c r="CM18" s="47">
        <v>527894.37</v>
      </c>
      <c r="CN18" s="47">
        <v>8101.95</v>
      </c>
      <c r="CO18" s="47">
        <v>7500</v>
      </c>
      <c r="CP18" s="47">
        <v>279281.34000000003</v>
      </c>
      <c r="CQ18" s="47">
        <v>650</v>
      </c>
      <c r="CR18" s="47">
        <v>955</v>
      </c>
      <c r="CS18" s="47">
        <v>82091.179999999993</v>
      </c>
      <c r="CT18" s="47">
        <v>188301.44</v>
      </c>
      <c r="CU18" s="398">
        <v>273744.03999999998</v>
      </c>
      <c r="CV18" s="189"/>
    </row>
    <row r="19" spans="1:100" ht="13.5" thickBot="1" x14ac:dyDescent="0.25">
      <c r="A19" s="3"/>
      <c r="B19" s="399" t="s">
        <v>808</v>
      </c>
      <c r="C19" s="400" t="s">
        <v>711</v>
      </c>
      <c r="D19" s="401" t="s">
        <v>656</v>
      </c>
      <c r="E19" s="401"/>
      <c r="F19" s="401"/>
      <c r="G19" s="61" t="s">
        <v>658</v>
      </c>
      <c r="H19" s="401" t="s">
        <v>702</v>
      </c>
      <c r="I19" s="401" t="s">
        <v>702</v>
      </c>
      <c r="J19" s="401" t="s">
        <v>702</v>
      </c>
      <c r="K19" s="401" t="s">
        <v>713</v>
      </c>
      <c r="L19" s="401" t="s">
        <v>714</v>
      </c>
      <c r="M19" s="401" t="s">
        <v>715</v>
      </c>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t="s">
        <v>717</v>
      </c>
      <c r="AQ19" s="401" t="s">
        <v>717</v>
      </c>
      <c r="AR19" s="401"/>
      <c r="AS19" s="401"/>
      <c r="AT19" s="401" t="s">
        <v>723</v>
      </c>
      <c r="AU19" s="401" t="s">
        <v>724</v>
      </c>
      <c r="AV19" s="401" t="s">
        <v>717</v>
      </c>
      <c r="AW19" s="401"/>
      <c r="AX19" s="401"/>
      <c r="AY19" s="401" t="s">
        <v>713</v>
      </c>
      <c r="AZ19" s="401"/>
      <c r="BA19" s="401"/>
      <c r="BB19" s="401"/>
      <c r="BC19" s="401"/>
      <c r="BD19" s="401"/>
      <c r="BE19" s="401"/>
      <c r="BF19" s="401"/>
      <c r="BG19" s="401"/>
      <c r="BH19" s="401"/>
      <c r="BI19" s="401"/>
      <c r="BJ19" s="401"/>
      <c r="BK19" s="401"/>
      <c r="BL19" s="401"/>
      <c r="BM19" s="401" t="s">
        <v>717</v>
      </c>
      <c r="BN19" s="401" t="s">
        <v>717</v>
      </c>
      <c r="BO19" s="401" t="s">
        <v>717</v>
      </c>
      <c r="BP19" s="401" t="s">
        <v>717</v>
      </c>
      <c r="BQ19" s="401" t="s">
        <v>717</v>
      </c>
      <c r="BR19" s="401" t="s">
        <v>717</v>
      </c>
      <c r="BS19" s="401" t="s">
        <v>717</v>
      </c>
      <c r="BT19" s="401" t="s">
        <v>717</v>
      </c>
      <c r="BU19" s="401" t="s">
        <v>717</v>
      </c>
      <c r="BV19" s="401" t="s">
        <v>717</v>
      </c>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c r="CU19" s="402" t="s">
        <v>717</v>
      </c>
      <c r="CV19" s="189"/>
    </row>
    <row r="20" spans="1:100" s="105" customFormat="1" ht="13.5" thickBot="1" x14ac:dyDescent="0.25">
      <c r="A20" s="3"/>
      <c r="B20" s="90"/>
      <c r="C20" s="102"/>
      <c r="D20" s="17"/>
      <c r="E20" s="17"/>
      <c r="F20" s="17"/>
      <c r="G20" s="16"/>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89"/>
    </row>
    <row r="21" spans="1:100" x14ac:dyDescent="0.2">
      <c r="A21" s="3"/>
      <c r="B21" s="18" t="s">
        <v>49</v>
      </c>
      <c r="C21" s="33"/>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c r="AV21" s="335"/>
      <c r="AW21" s="335"/>
      <c r="AX21" s="335"/>
      <c r="AY21" s="335"/>
      <c r="AZ21" s="335"/>
      <c r="BA21" s="335"/>
      <c r="BB21" s="335"/>
      <c r="BC21" s="335"/>
      <c r="BD21" s="384"/>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c r="CM21" s="335"/>
      <c r="CN21" s="335"/>
      <c r="CO21" s="335"/>
      <c r="CP21" s="335"/>
      <c r="CQ21" s="335"/>
      <c r="CR21" s="335"/>
      <c r="CS21" s="335"/>
      <c r="CT21" s="335"/>
      <c r="CU21" s="385"/>
      <c r="CV21" s="189"/>
    </row>
    <row r="22" spans="1:100" ht="229.5" outlineLevel="2" x14ac:dyDescent="0.2">
      <c r="A22" s="3" t="s">
        <v>107</v>
      </c>
      <c r="B22" s="25" t="s">
        <v>38</v>
      </c>
      <c r="C22" s="70"/>
      <c r="D22" s="16" t="s">
        <v>500</v>
      </c>
      <c r="E22" s="16" t="s">
        <v>493</v>
      </c>
      <c r="F22" s="16" t="s">
        <v>521</v>
      </c>
      <c r="G22" s="16" t="s">
        <v>476</v>
      </c>
      <c r="H22" s="16" t="s">
        <v>233</v>
      </c>
      <c r="I22" s="16" t="s">
        <v>233</v>
      </c>
      <c r="J22" s="16" t="s">
        <v>233</v>
      </c>
      <c r="K22" s="16" t="s">
        <v>175</v>
      </c>
      <c r="L22" s="16" t="s">
        <v>230</v>
      </c>
      <c r="M22" s="16" t="s">
        <v>367</v>
      </c>
      <c r="N22" s="16" t="s">
        <v>369</v>
      </c>
      <c r="O22" s="16" t="s">
        <v>477</v>
      </c>
      <c r="P22" s="16" t="s">
        <v>477</v>
      </c>
      <c r="Q22" s="16" t="s">
        <v>477</v>
      </c>
      <c r="R22" s="16" t="s">
        <v>227</v>
      </c>
      <c r="S22" s="16" t="s">
        <v>370</v>
      </c>
      <c r="T22" s="16" t="s">
        <v>227</v>
      </c>
      <c r="U22" s="16" t="s">
        <v>239</v>
      </c>
      <c r="V22" s="16" t="s">
        <v>357</v>
      </c>
      <c r="W22" s="16" t="s">
        <v>361</v>
      </c>
      <c r="X22" s="16" t="s">
        <v>175</v>
      </c>
      <c r="Y22" s="16" t="s">
        <v>364</v>
      </c>
      <c r="Z22" s="16" t="s">
        <v>479</v>
      </c>
      <c r="AA22" s="16" t="s">
        <v>234</v>
      </c>
      <c r="AB22" s="16" t="s">
        <v>175</v>
      </c>
      <c r="AC22" s="16" t="s">
        <v>362</v>
      </c>
      <c r="AD22" s="16" t="s">
        <v>363</v>
      </c>
      <c r="AE22" s="16" t="s">
        <v>228</v>
      </c>
      <c r="AF22" s="16" t="s">
        <v>175</v>
      </c>
      <c r="AG22" s="16" t="s">
        <v>368</v>
      </c>
      <c r="AH22" s="16" t="s">
        <v>371</v>
      </c>
      <c r="AI22" s="16" t="s">
        <v>372</v>
      </c>
      <c r="AJ22" s="16" t="s">
        <v>373</v>
      </c>
      <c r="AK22" s="16" t="s">
        <v>371</v>
      </c>
      <c r="AL22" s="16" t="s">
        <v>360</v>
      </c>
      <c r="AM22" s="16" t="s">
        <v>225</v>
      </c>
      <c r="AN22" s="16" t="s">
        <v>225</v>
      </c>
      <c r="AO22" s="16" t="s">
        <v>225</v>
      </c>
      <c r="AP22" s="16" t="s">
        <v>225</v>
      </c>
      <c r="AQ22" s="16" t="s">
        <v>225</v>
      </c>
      <c r="AR22" s="16" t="s">
        <v>366</v>
      </c>
      <c r="AS22" s="16" t="s">
        <v>366</v>
      </c>
      <c r="AT22" s="16" t="s">
        <v>366</v>
      </c>
      <c r="AU22" s="16" t="s">
        <v>366</v>
      </c>
      <c r="AV22" s="16" t="s">
        <v>225</v>
      </c>
      <c r="AW22" s="16" t="s">
        <v>358</v>
      </c>
      <c r="AX22" s="16" t="s">
        <v>366</v>
      </c>
      <c r="AY22" s="16" t="s">
        <v>175</v>
      </c>
      <c r="AZ22" s="16" t="s">
        <v>489</v>
      </c>
      <c r="BA22" s="16" t="s">
        <v>490</v>
      </c>
      <c r="BB22" s="16" t="s">
        <v>1154</v>
      </c>
      <c r="BC22" s="16" t="s">
        <v>373</v>
      </c>
      <c r="BD22" s="177" t="s">
        <v>359</v>
      </c>
      <c r="BE22" s="16" t="s">
        <v>236</v>
      </c>
      <c r="BF22" s="16" t="s">
        <v>478</v>
      </c>
      <c r="BG22" s="16" t="s">
        <v>235</v>
      </c>
      <c r="BH22" s="16" t="s">
        <v>231</v>
      </c>
      <c r="BI22" s="16" t="s">
        <v>701</v>
      </c>
      <c r="BJ22" s="16" t="s">
        <v>236</v>
      </c>
      <c r="BK22" s="16" t="s">
        <v>236</v>
      </c>
      <c r="BL22" s="16" t="s">
        <v>365</v>
      </c>
      <c r="BM22" s="16" t="s">
        <v>481</v>
      </c>
      <c r="BN22" s="16" t="s">
        <v>231</v>
      </c>
      <c r="BO22" s="16" t="s">
        <v>231</v>
      </c>
      <c r="BP22" s="16" t="s">
        <v>231</v>
      </c>
      <c r="BQ22" s="16" t="s">
        <v>231</v>
      </c>
      <c r="BR22" s="16" t="s">
        <v>231</v>
      </c>
      <c r="BS22" s="16" t="s">
        <v>235</v>
      </c>
      <c r="BT22" s="16" t="s">
        <v>235</v>
      </c>
      <c r="BU22" s="16" t="s">
        <v>231</v>
      </c>
      <c r="BV22" s="16" t="s">
        <v>231</v>
      </c>
      <c r="BW22" s="16" t="s">
        <v>366</v>
      </c>
      <c r="BX22" s="16" t="s">
        <v>481</v>
      </c>
      <c r="BY22" s="16" t="s">
        <v>231</v>
      </c>
      <c r="BZ22" s="16" t="s">
        <v>231</v>
      </c>
      <c r="CA22" s="16" t="s">
        <v>231</v>
      </c>
      <c r="CB22" s="16" t="s">
        <v>231</v>
      </c>
      <c r="CC22" s="16" t="s">
        <v>235</v>
      </c>
      <c r="CD22" s="16" t="s">
        <v>478</v>
      </c>
      <c r="CE22" s="16" t="s">
        <v>231</v>
      </c>
      <c r="CF22" s="16" t="s">
        <v>231</v>
      </c>
      <c r="CG22" s="16" t="s">
        <v>236</v>
      </c>
      <c r="CH22" s="16" t="s">
        <v>483</v>
      </c>
      <c r="CI22" s="16" t="s">
        <v>484</v>
      </c>
      <c r="CJ22" s="16" t="s">
        <v>478</v>
      </c>
      <c r="CK22" s="16" t="s">
        <v>236</v>
      </c>
      <c r="CL22" s="16" t="s">
        <v>236</v>
      </c>
      <c r="CM22" s="16" t="s">
        <v>485</v>
      </c>
      <c r="CN22" s="16" t="s">
        <v>231</v>
      </c>
      <c r="CO22" s="16" t="s">
        <v>478</v>
      </c>
      <c r="CP22" s="16" t="s">
        <v>478</v>
      </c>
      <c r="CQ22" s="16" t="s">
        <v>236</v>
      </c>
      <c r="CR22" s="16" t="s">
        <v>486</v>
      </c>
      <c r="CS22" s="16" t="s">
        <v>236</v>
      </c>
      <c r="CT22" s="16" t="s">
        <v>478</v>
      </c>
      <c r="CU22" s="391" t="s">
        <v>235</v>
      </c>
      <c r="CV22" s="189"/>
    </row>
    <row r="23" spans="1:100" ht="64.5" customHeight="1" thickBot="1" x14ac:dyDescent="0.25">
      <c r="A23" s="3" t="s">
        <v>108</v>
      </c>
      <c r="B23" s="46" t="s">
        <v>1069</v>
      </c>
      <c r="C23" s="72"/>
      <c r="D23" s="61" t="s">
        <v>1009</v>
      </c>
      <c r="E23" s="61" t="s">
        <v>1151</v>
      </c>
      <c r="F23" s="61" t="s">
        <v>1171</v>
      </c>
      <c r="G23" s="61" t="s">
        <v>840</v>
      </c>
      <c r="H23" s="61" t="s">
        <v>495</v>
      </c>
      <c r="I23" s="61" t="s">
        <v>494</v>
      </c>
      <c r="J23" s="61" t="s">
        <v>496</v>
      </c>
      <c r="K23" s="61" t="s">
        <v>819</v>
      </c>
      <c r="L23" s="61" t="s">
        <v>833</v>
      </c>
      <c r="M23" s="61" t="s">
        <v>843</v>
      </c>
      <c r="N23" s="61" t="s">
        <v>840</v>
      </c>
      <c r="O23" s="61" t="s">
        <v>824</v>
      </c>
      <c r="P23" s="61" t="s">
        <v>841</v>
      </c>
      <c r="Q23" s="61" t="s">
        <v>841</v>
      </c>
      <c r="R23" s="61" t="s">
        <v>825</v>
      </c>
      <c r="S23" s="61" t="s">
        <v>842</v>
      </c>
      <c r="T23" s="61" t="s">
        <v>824</v>
      </c>
      <c r="U23" s="61" t="s">
        <v>827</v>
      </c>
      <c r="V23" s="61" t="s">
        <v>820</v>
      </c>
      <c r="W23" s="61" t="s">
        <v>837</v>
      </c>
      <c r="X23" s="61" t="s">
        <v>819</v>
      </c>
      <c r="Y23" s="61" t="s">
        <v>844</v>
      </c>
      <c r="Z23" s="61" t="s">
        <v>845</v>
      </c>
      <c r="AA23" s="61" t="s">
        <v>838</v>
      </c>
      <c r="AB23" s="61" t="s">
        <v>819</v>
      </c>
      <c r="AC23" s="61" t="s">
        <v>846</v>
      </c>
      <c r="AD23" s="61" t="s">
        <v>859</v>
      </c>
      <c r="AE23" s="61" t="s">
        <v>846</v>
      </c>
      <c r="AF23" s="61" t="s">
        <v>819</v>
      </c>
      <c r="AG23" s="61" t="s">
        <v>834</v>
      </c>
      <c r="AH23" s="61" t="s">
        <v>835</v>
      </c>
      <c r="AI23" s="61" t="s">
        <v>839</v>
      </c>
      <c r="AJ23" s="61" t="s">
        <v>847</v>
      </c>
      <c r="AK23" s="61" t="s">
        <v>835</v>
      </c>
      <c r="AL23" s="61" t="s">
        <v>853</v>
      </c>
      <c r="AM23" s="61" t="s">
        <v>826</v>
      </c>
      <c r="AN23" s="61" t="s">
        <v>826</v>
      </c>
      <c r="AO23" s="61" t="s">
        <v>826</v>
      </c>
      <c r="AP23" s="61" t="s">
        <v>826</v>
      </c>
      <c r="AQ23" s="61" t="s">
        <v>826</v>
      </c>
      <c r="AR23" s="61" t="s">
        <v>850</v>
      </c>
      <c r="AS23" s="61" t="s">
        <v>850</v>
      </c>
      <c r="AT23" s="61" t="s">
        <v>850</v>
      </c>
      <c r="AU23" s="61" t="s">
        <v>850</v>
      </c>
      <c r="AV23" s="61" t="s">
        <v>826</v>
      </c>
      <c r="AW23" s="61" t="s">
        <v>1152</v>
      </c>
      <c r="AX23" s="61" t="s">
        <v>850</v>
      </c>
      <c r="AY23" s="61" t="s">
        <v>819</v>
      </c>
      <c r="AZ23" s="61" t="s">
        <v>848</v>
      </c>
      <c r="BA23" s="61" t="s">
        <v>849</v>
      </c>
      <c r="BB23" s="61" t="s">
        <v>1153</v>
      </c>
      <c r="BC23" s="61" t="s">
        <v>847</v>
      </c>
      <c r="BD23" s="378" t="s">
        <v>829</v>
      </c>
      <c r="BE23" s="61" t="s">
        <v>828</v>
      </c>
      <c r="BF23" s="61" t="s">
        <v>821</v>
      </c>
      <c r="BG23" s="61" t="s">
        <v>821</v>
      </c>
      <c r="BH23" s="61" t="s">
        <v>830</v>
      </c>
      <c r="BI23" s="61" t="s">
        <v>851</v>
      </c>
      <c r="BJ23" s="61" t="s">
        <v>828</v>
      </c>
      <c r="BK23" s="61" t="s">
        <v>828</v>
      </c>
      <c r="BL23" s="61" t="s">
        <v>822</v>
      </c>
      <c r="BM23" s="61" t="s">
        <v>831</v>
      </c>
      <c r="BN23" s="61" t="s">
        <v>830</v>
      </c>
      <c r="BO23" s="61" t="s">
        <v>830</v>
      </c>
      <c r="BP23" s="61" t="s">
        <v>830</v>
      </c>
      <c r="BQ23" s="61" t="s">
        <v>830</v>
      </c>
      <c r="BR23" s="61" t="s">
        <v>830</v>
      </c>
      <c r="BS23" s="61" t="s">
        <v>821</v>
      </c>
      <c r="BT23" s="61" t="s">
        <v>821</v>
      </c>
      <c r="BU23" s="61" t="s">
        <v>830</v>
      </c>
      <c r="BV23" s="61" t="s">
        <v>830</v>
      </c>
      <c r="BW23" s="61" t="s">
        <v>850</v>
      </c>
      <c r="BX23" s="61" t="s">
        <v>831</v>
      </c>
      <c r="BY23" s="61" t="s">
        <v>830</v>
      </c>
      <c r="BZ23" s="61" t="s">
        <v>830</v>
      </c>
      <c r="CA23" s="61" t="s">
        <v>830</v>
      </c>
      <c r="CB23" s="61" t="s">
        <v>830</v>
      </c>
      <c r="CC23" s="61" t="s">
        <v>821</v>
      </c>
      <c r="CD23" s="61" t="s">
        <v>821</v>
      </c>
      <c r="CE23" s="61" t="s">
        <v>830</v>
      </c>
      <c r="CF23" s="61" t="s">
        <v>830</v>
      </c>
      <c r="CG23" s="61" t="s">
        <v>828</v>
      </c>
      <c r="CH23" s="61" t="s">
        <v>836</v>
      </c>
      <c r="CI23" s="61" t="s">
        <v>852</v>
      </c>
      <c r="CJ23" s="61" t="s">
        <v>821</v>
      </c>
      <c r="CK23" s="61" t="s">
        <v>828</v>
      </c>
      <c r="CL23" s="61" t="s">
        <v>828</v>
      </c>
      <c r="CM23" s="61" t="s">
        <v>832</v>
      </c>
      <c r="CN23" s="61" t="s">
        <v>830</v>
      </c>
      <c r="CO23" s="61" t="s">
        <v>821</v>
      </c>
      <c r="CP23" s="61" t="s">
        <v>821</v>
      </c>
      <c r="CQ23" s="61" t="s">
        <v>828</v>
      </c>
      <c r="CR23" s="61" t="s">
        <v>823</v>
      </c>
      <c r="CS23" s="61" t="s">
        <v>828</v>
      </c>
      <c r="CT23" s="61" t="s">
        <v>821</v>
      </c>
      <c r="CU23" s="379" t="s">
        <v>821</v>
      </c>
      <c r="CV23" s="189"/>
    </row>
    <row r="24" spans="1:100" ht="13.5" thickBot="1" x14ac:dyDescent="0.25">
      <c r="A24" s="3"/>
      <c r="B24" s="12"/>
      <c r="C24" s="73"/>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89"/>
    </row>
    <row r="25" spans="1:100" x14ac:dyDescent="0.2">
      <c r="A25" s="3"/>
      <c r="B25" s="18" t="s">
        <v>48</v>
      </c>
      <c r="C25" s="33"/>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380"/>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381"/>
      <c r="CV25" s="189"/>
    </row>
    <row r="26" spans="1:100" ht="25.5" x14ac:dyDescent="0.2">
      <c r="A26" s="3" t="s">
        <v>109</v>
      </c>
      <c r="B26" s="25" t="s">
        <v>133</v>
      </c>
      <c r="C26" s="50">
        <f>SUM(D26:DX26)</f>
        <v>14466068.809999999</v>
      </c>
      <c r="D26" s="27">
        <v>455060</v>
      </c>
      <c r="E26" s="26">
        <v>4108352.17</v>
      </c>
      <c r="F26" s="26">
        <v>0</v>
      </c>
      <c r="G26" s="26">
        <v>0</v>
      </c>
      <c r="H26" s="26">
        <v>2834551.28</v>
      </c>
      <c r="I26" s="26">
        <v>1268584.78</v>
      </c>
      <c r="J26" s="26">
        <v>5799520.5800000001</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179">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352">
        <v>0</v>
      </c>
      <c r="CV26" s="189"/>
    </row>
    <row r="27" spans="1:100" s="10" customFormat="1" x14ac:dyDescent="0.2">
      <c r="A27" s="3" t="s">
        <v>110</v>
      </c>
      <c r="B27" s="25" t="s">
        <v>801</v>
      </c>
      <c r="C27" s="50">
        <f>SUM(D27:DX27)</f>
        <v>71879393</v>
      </c>
      <c r="D27" s="27">
        <v>24098671</v>
      </c>
      <c r="E27" s="27">
        <v>11625132</v>
      </c>
      <c r="F27" s="27">
        <v>0</v>
      </c>
      <c r="G27" s="27">
        <v>31098135</v>
      </c>
      <c r="H27" s="27">
        <v>0</v>
      </c>
      <c r="I27" s="27">
        <v>0</v>
      </c>
      <c r="J27" s="27">
        <v>0</v>
      </c>
      <c r="K27" s="27">
        <v>0</v>
      </c>
      <c r="L27" s="27">
        <v>0</v>
      </c>
      <c r="M27" s="27">
        <v>0</v>
      </c>
      <c r="N27" s="27">
        <v>0</v>
      </c>
      <c r="O27" s="27">
        <v>0</v>
      </c>
      <c r="P27" s="27">
        <v>0</v>
      </c>
      <c r="Q27" s="27">
        <v>0</v>
      </c>
      <c r="R27" s="27">
        <v>0</v>
      </c>
      <c r="S27" s="27">
        <v>50000</v>
      </c>
      <c r="T27" s="27">
        <v>45570</v>
      </c>
      <c r="U27" s="27">
        <v>0</v>
      </c>
      <c r="V27" s="27">
        <v>0</v>
      </c>
      <c r="W27" s="27">
        <v>0</v>
      </c>
      <c r="X27" s="27">
        <v>0</v>
      </c>
      <c r="Y27" s="27">
        <v>0</v>
      </c>
      <c r="Z27" s="27">
        <v>72034</v>
      </c>
      <c r="AA27" s="27">
        <v>0</v>
      </c>
      <c r="AB27" s="27">
        <v>0</v>
      </c>
      <c r="AC27" s="27">
        <v>0</v>
      </c>
      <c r="AD27" s="27">
        <v>269337</v>
      </c>
      <c r="AE27" s="27">
        <v>0</v>
      </c>
      <c r="AF27" s="27">
        <v>0</v>
      </c>
      <c r="AG27" s="27">
        <v>0</v>
      </c>
      <c r="AH27" s="27">
        <v>0</v>
      </c>
      <c r="AI27" s="27">
        <v>0</v>
      </c>
      <c r="AJ27" s="27">
        <v>0</v>
      </c>
      <c r="AK27" s="27">
        <v>0</v>
      </c>
      <c r="AL27" s="27">
        <v>0</v>
      </c>
      <c r="AM27" s="27">
        <v>0</v>
      </c>
      <c r="AN27" s="27">
        <v>0</v>
      </c>
      <c r="AO27" s="27">
        <v>0</v>
      </c>
      <c r="AP27" s="27">
        <v>0</v>
      </c>
      <c r="AQ27" s="27">
        <v>0</v>
      </c>
      <c r="AR27" s="27">
        <v>0</v>
      </c>
      <c r="AS27" s="27">
        <v>150000</v>
      </c>
      <c r="AT27" s="27">
        <v>0</v>
      </c>
      <c r="AU27" s="27">
        <v>0</v>
      </c>
      <c r="AV27" s="27">
        <v>0</v>
      </c>
      <c r="AW27" s="27">
        <v>475000</v>
      </c>
      <c r="AX27" s="27">
        <v>0</v>
      </c>
      <c r="AY27" s="27">
        <v>0</v>
      </c>
      <c r="AZ27" s="27">
        <v>0</v>
      </c>
      <c r="BA27" s="27">
        <v>0</v>
      </c>
      <c r="BB27" s="27">
        <v>1339307</v>
      </c>
      <c r="BC27" s="27">
        <v>88777</v>
      </c>
      <c r="BD27" s="181">
        <v>440385</v>
      </c>
      <c r="BE27" s="27">
        <v>0</v>
      </c>
      <c r="BF27" s="27">
        <v>0</v>
      </c>
      <c r="BG27" s="27">
        <v>0</v>
      </c>
      <c r="BH27" s="27">
        <v>0</v>
      </c>
      <c r="BI27" s="27">
        <v>0</v>
      </c>
      <c r="BJ27" s="27">
        <v>1184045</v>
      </c>
      <c r="BK27" s="27">
        <v>0</v>
      </c>
      <c r="BL27" s="27">
        <v>0</v>
      </c>
      <c r="BM27" s="27">
        <v>0</v>
      </c>
      <c r="BN27" s="27">
        <v>0</v>
      </c>
      <c r="BO27" s="27">
        <v>0</v>
      </c>
      <c r="BP27" s="27">
        <v>0</v>
      </c>
      <c r="BQ27" s="27">
        <v>0</v>
      </c>
      <c r="BR27" s="27">
        <v>0</v>
      </c>
      <c r="BS27" s="27">
        <v>0</v>
      </c>
      <c r="BT27" s="27">
        <v>0</v>
      </c>
      <c r="BU27" s="27">
        <v>0</v>
      </c>
      <c r="BV27" s="27">
        <v>0</v>
      </c>
      <c r="BW27" s="27">
        <v>0</v>
      </c>
      <c r="BX27" s="27">
        <v>943000</v>
      </c>
      <c r="BY27" s="27">
        <v>0</v>
      </c>
      <c r="BZ27" s="27">
        <v>0</v>
      </c>
      <c r="CA27" s="27">
        <v>0</v>
      </c>
      <c r="CB27" s="27">
        <v>0</v>
      </c>
      <c r="CC27" s="27">
        <v>0</v>
      </c>
      <c r="CD27" s="27">
        <v>0</v>
      </c>
      <c r="CE27" s="27">
        <v>0</v>
      </c>
      <c r="CF27" s="27">
        <v>0</v>
      </c>
      <c r="CG27" s="27">
        <v>0</v>
      </c>
      <c r="CH27" s="27">
        <v>0</v>
      </c>
      <c r="CI27" s="27">
        <v>0</v>
      </c>
      <c r="CJ27" s="27">
        <v>0</v>
      </c>
      <c r="CK27" s="27">
        <v>0</v>
      </c>
      <c r="CL27" s="27">
        <v>0</v>
      </c>
      <c r="CM27" s="27">
        <v>0</v>
      </c>
      <c r="CN27" s="27">
        <v>0</v>
      </c>
      <c r="CO27" s="27">
        <v>0</v>
      </c>
      <c r="CP27" s="27">
        <v>0</v>
      </c>
      <c r="CQ27" s="27">
        <v>0</v>
      </c>
      <c r="CR27" s="27">
        <v>0</v>
      </c>
      <c r="CS27" s="27">
        <v>0</v>
      </c>
      <c r="CT27" s="27">
        <v>0</v>
      </c>
      <c r="CU27" s="396">
        <v>0</v>
      </c>
      <c r="CV27" s="189"/>
    </row>
    <row r="28" spans="1:100" ht="25.5" x14ac:dyDescent="0.2">
      <c r="A28" s="3" t="s">
        <v>111</v>
      </c>
      <c r="B28" s="39" t="s">
        <v>35</v>
      </c>
      <c r="C28" s="51">
        <f>SUM(D28:DX28)</f>
        <v>86345461.810000002</v>
      </c>
      <c r="D28" s="29">
        <f>SUM(D26:D27)</f>
        <v>24553731</v>
      </c>
      <c r="E28" s="29">
        <f t="shared" ref="E28" si="0">SUM(E26:E27)</f>
        <v>15733484.17</v>
      </c>
      <c r="F28" s="29">
        <f t="shared" ref="F28:H28" si="1">SUM(F26:F27)</f>
        <v>0</v>
      </c>
      <c r="G28" s="29">
        <f t="shared" si="1"/>
        <v>31098135</v>
      </c>
      <c r="H28" s="29">
        <f t="shared" si="1"/>
        <v>2834551.28</v>
      </c>
      <c r="I28" s="29">
        <f>SUM(I26:I27)</f>
        <v>1268584.78</v>
      </c>
      <c r="J28" s="29">
        <f>SUM(J26:J27)</f>
        <v>5799520.5800000001</v>
      </c>
      <c r="K28" s="29">
        <f>SUM(K26:K27)</f>
        <v>0</v>
      </c>
      <c r="L28" s="29">
        <f t="shared" ref="L28" si="2">SUM(L26:L27)</f>
        <v>0</v>
      </c>
      <c r="M28" s="29">
        <f>SUM(M26:M27)</f>
        <v>0</v>
      </c>
      <c r="N28" s="29">
        <f>SUM(N26:N27)</f>
        <v>0</v>
      </c>
      <c r="O28" s="29">
        <f t="shared" ref="O28:BG28" si="3">SUM(O26:O27)</f>
        <v>0</v>
      </c>
      <c r="P28" s="29">
        <f t="shared" ref="P28:U28" si="4">SUM(P26:P27)</f>
        <v>0</v>
      </c>
      <c r="Q28" s="29">
        <f t="shared" si="4"/>
        <v>0</v>
      </c>
      <c r="R28" s="29">
        <f t="shared" si="4"/>
        <v>0</v>
      </c>
      <c r="S28" s="29">
        <f t="shared" si="4"/>
        <v>50000</v>
      </c>
      <c r="T28" s="29">
        <f t="shared" si="4"/>
        <v>45570</v>
      </c>
      <c r="U28" s="29">
        <f t="shared" si="4"/>
        <v>0</v>
      </c>
      <c r="V28" s="29">
        <f t="shared" si="3"/>
        <v>0</v>
      </c>
      <c r="W28" s="29">
        <f t="shared" ref="W28:AH28" si="5">SUM(W26:W27)</f>
        <v>0</v>
      </c>
      <c r="X28" s="29">
        <f t="shared" si="5"/>
        <v>0</v>
      </c>
      <c r="Y28" s="29">
        <f t="shared" si="5"/>
        <v>0</v>
      </c>
      <c r="Z28" s="29">
        <f t="shared" si="5"/>
        <v>72034</v>
      </c>
      <c r="AA28" s="29">
        <f t="shared" si="5"/>
        <v>0</v>
      </c>
      <c r="AB28" s="29">
        <f t="shared" si="5"/>
        <v>0</v>
      </c>
      <c r="AC28" s="29">
        <f t="shared" si="5"/>
        <v>0</v>
      </c>
      <c r="AD28" s="29">
        <f t="shared" si="5"/>
        <v>269337</v>
      </c>
      <c r="AE28" s="29">
        <f t="shared" si="5"/>
        <v>0</v>
      </c>
      <c r="AF28" s="29">
        <f t="shared" si="5"/>
        <v>0</v>
      </c>
      <c r="AG28" s="29">
        <f t="shared" si="5"/>
        <v>0</v>
      </c>
      <c r="AH28" s="29">
        <f t="shared" si="5"/>
        <v>0</v>
      </c>
      <c r="AI28" s="29">
        <f>SUM(AI26:AI27)</f>
        <v>0</v>
      </c>
      <c r="AJ28" s="29">
        <f>SUM(AJ26:AJ27)</f>
        <v>0</v>
      </c>
      <c r="AK28" s="29">
        <f>SUM(AK26:AK27)</f>
        <v>0</v>
      </c>
      <c r="AL28" s="29">
        <f t="shared" si="3"/>
        <v>0</v>
      </c>
      <c r="AM28" s="29">
        <f>SUM(AM26:AM27)</f>
        <v>0</v>
      </c>
      <c r="AN28" s="29">
        <f>SUM(AN26:AN27)</f>
        <v>0</v>
      </c>
      <c r="AO28" s="29">
        <f>SUM(AO26:AO27)</f>
        <v>0</v>
      </c>
      <c r="AP28" s="29">
        <f t="shared" ref="AP28" si="6">SUM(AP26:AP27)</f>
        <v>0</v>
      </c>
      <c r="AQ28" s="29">
        <f t="shared" ref="AQ28:AX28" si="7">SUM(AQ26:AQ27)</f>
        <v>0</v>
      </c>
      <c r="AR28" s="29">
        <f t="shared" si="7"/>
        <v>0</v>
      </c>
      <c r="AS28" s="29">
        <f t="shared" si="7"/>
        <v>150000</v>
      </c>
      <c r="AT28" s="29">
        <f t="shared" si="7"/>
        <v>0</v>
      </c>
      <c r="AU28" s="29">
        <f t="shared" si="7"/>
        <v>0</v>
      </c>
      <c r="AV28" s="29">
        <f t="shared" si="7"/>
        <v>0</v>
      </c>
      <c r="AW28" s="29">
        <f t="shared" si="7"/>
        <v>475000</v>
      </c>
      <c r="AX28" s="29">
        <f t="shared" si="7"/>
        <v>0</v>
      </c>
      <c r="AY28" s="29">
        <f t="shared" ref="AY28" si="8">SUM(AY26:AY27)</f>
        <v>0</v>
      </c>
      <c r="AZ28" s="29">
        <f t="shared" ref="AZ28" si="9">SUM(AZ26:AZ27)</f>
        <v>0</v>
      </c>
      <c r="BA28" s="29">
        <f t="shared" ref="BA28:BB28" si="10">SUM(BA26:BA27)</f>
        <v>0</v>
      </c>
      <c r="BB28" s="29">
        <f t="shared" si="10"/>
        <v>1339307</v>
      </c>
      <c r="BC28" s="29">
        <f>SUM(BC26:BC27)</f>
        <v>88777</v>
      </c>
      <c r="BD28" s="180">
        <f>SUM(BD26:BD27)</f>
        <v>440385</v>
      </c>
      <c r="BE28" s="29">
        <f>SUM(BE26:BE27)</f>
        <v>0</v>
      </c>
      <c r="BF28" s="29">
        <f t="shared" si="3"/>
        <v>0</v>
      </c>
      <c r="BG28" s="29">
        <f t="shared" si="3"/>
        <v>0</v>
      </c>
      <c r="BH28" s="29">
        <f t="shared" ref="BH28:BI28" si="11">SUM(BH26:BH27)</f>
        <v>0</v>
      </c>
      <c r="BI28" s="29">
        <f t="shared" si="11"/>
        <v>0</v>
      </c>
      <c r="BJ28" s="29">
        <f>SUM(BJ26:BJ27)</f>
        <v>1184045</v>
      </c>
      <c r="BK28" s="29">
        <f>SUM(BK26:BK27)</f>
        <v>0</v>
      </c>
      <c r="BL28" s="29">
        <f t="shared" ref="BL28" si="12">SUM(BL26:BL27)</f>
        <v>0</v>
      </c>
      <c r="BM28" s="29">
        <f t="shared" ref="BM28:BP28" si="13">SUM(BM26:BM27)</f>
        <v>0</v>
      </c>
      <c r="BN28" s="29">
        <f t="shared" si="13"/>
        <v>0</v>
      </c>
      <c r="BO28" s="29">
        <f t="shared" si="13"/>
        <v>0</v>
      </c>
      <c r="BP28" s="29">
        <f t="shared" si="13"/>
        <v>0</v>
      </c>
      <c r="BQ28" s="29">
        <f t="shared" ref="BQ28:BT28" si="14">SUM(BQ26:BQ27)</f>
        <v>0</v>
      </c>
      <c r="BR28" s="29">
        <f t="shared" si="14"/>
        <v>0</v>
      </c>
      <c r="BS28" s="29">
        <f t="shared" si="14"/>
        <v>0</v>
      </c>
      <c r="BT28" s="29">
        <f t="shared" si="14"/>
        <v>0</v>
      </c>
      <c r="BU28" s="29">
        <f>SUM(BU26:BU27)</f>
        <v>0</v>
      </c>
      <c r="BV28" s="29">
        <f>SUM(BV26:BV27)</f>
        <v>0</v>
      </c>
      <c r="BW28" s="29">
        <f>SUM(BW26:BW27)</f>
        <v>0</v>
      </c>
      <c r="BX28" s="29">
        <f>SUM(BX26:BX27)</f>
        <v>943000</v>
      </c>
      <c r="BY28" s="29">
        <f>SUM(BY26:BY27)</f>
        <v>0</v>
      </c>
      <c r="BZ28" s="29">
        <f t="shared" ref="BZ28" si="15">SUM(BZ26:BZ27)</f>
        <v>0</v>
      </c>
      <c r="CA28" s="29">
        <f>SUM(CA26:CA27)</f>
        <v>0</v>
      </c>
      <c r="CB28" s="29">
        <f t="shared" ref="CB28" si="16">SUM(CB26:CB27)</f>
        <v>0</v>
      </c>
      <c r="CC28" s="29">
        <f>SUM(CC26:CC27)</f>
        <v>0</v>
      </c>
      <c r="CD28" s="29">
        <f>SUM(CD26:CD27)</f>
        <v>0</v>
      </c>
      <c r="CE28" s="29">
        <f t="shared" ref="CE28" si="17">SUM(CE26:CE27)</f>
        <v>0</v>
      </c>
      <c r="CF28" s="29">
        <f>SUM(CF26:CF27)</f>
        <v>0</v>
      </c>
      <c r="CG28" s="29">
        <f t="shared" ref="CG28" si="18">SUM(CG26:CG27)</f>
        <v>0</v>
      </c>
      <c r="CH28" s="29">
        <f t="shared" ref="CH28:CK28" si="19">SUM(CH26:CH27)</f>
        <v>0</v>
      </c>
      <c r="CI28" s="29">
        <f t="shared" si="19"/>
        <v>0</v>
      </c>
      <c r="CJ28" s="29">
        <f t="shared" si="19"/>
        <v>0</v>
      </c>
      <c r="CK28" s="29">
        <f t="shared" si="19"/>
        <v>0</v>
      </c>
      <c r="CL28" s="29">
        <f t="shared" ref="CL28" si="20">SUM(CL26:CL27)</f>
        <v>0</v>
      </c>
      <c r="CM28" s="29">
        <f t="shared" ref="CM28" si="21">SUM(CM26:CM27)</f>
        <v>0</v>
      </c>
      <c r="CN28" s="29">
        <f t="shared" ref="CN28" si="22">SUM(CN26:CN27)</f>
        <v>0</v>
      </c>
      <c r="CO28" s="29">
        <f t="shared" ref="CO28:CU28" si="23">SUM(CO26:CO27)</f>
        <v>0</v>
      </c>
      <c r="CP28" s="29">
        <f t="shared" si="23"/>
        <v>0</v>
      </c>
      <c r="CQ28" s="29">
        <f t="shared" si="23"/>
        <v>0</v>
      </c>
      <c r="CR28" s="29">
        <f t="shared" si="23"/>
        <v>0</v>
      </c>
      <c r="CS28" s="29">
        <f t="shared" si="23"/>
        <v>0</v>
      </c>
      <c r="CT28" s="29">
        <f t="shared" si="23"/>
        <v>0</v>
      </c>
      <c r="CU28" s="361">
        <f t="shared" si="23"/>
        <v>0</v>
      </c>
      <c r="CV28" s="189"/>
    </row>
    <row r="29" spans="1:100" s="10" customFormat="1" x14ac:dyDescent="0.2">
      <c r="A29" s="3" t="s">
        <v>112</v>
      </c>
      <c r="B29" s="95" t="s">
        <v>802</v>
      </c>
      <c r="C29" s="49">
        <f>SUM(D29:DX29)</f>
        <v>43044804.130000003</v>
      </c>
      <c r="D29" s="37">
        <v>581042</v>
      </c>
      <c r="E29" s="37">
        <v>0</v>
      </c>
      <c r="F29" s="37">
        <v>0</v>
      </c>
      <c r="G29" s="37">
        <v>0</v>
      </c>
      <c r="H29" s="37">
        <v>3103096</v>
      </c>
      <c r="I29" s="37">
        <v>-55353.39</v>
      </c>
      <c r="J29" s="37">
        <v>692726</v>
      </c>
      <c r="K29" s="37">
        <v>0</v>
      </c>
      <c r="L29" s="37">
        <v>0</v>
      </c>
      <c r="M29" s="37">
        <v>268766</v>
      </c>
      <c r="N29" s="37">
        <v>9715817</v>
      </c>
      <c r="O29" s="37">
        <v>893373.11</v>
      </c>
      <c r="P29" s="37">
        <v>908269.47</v>
      </c>
      <c r="Q29" s="37">
        <v>2690944.35</v>
      </c>
      <c r="R29" s="37">
        <v>91238.37</v>
      </c>
      <c r="S29" s="37">
        <v>435996</v>
      </c>
      <c r="T29" s="37">
        <v>254048</v>
      </c>
      <c r="U29" s="37">
        <v>17400</v>
      </c>
      <c r="V29" s="37">
        <v>567885.29</v>
      </c>
      <c r="W29" s="37">
        <v>163443.51</v>
      </c>
      <c r="X29" s="37">
        <v>37303</v>
      </c>
      <c r="Y29" s="37">
        <v>0</v>
      </c>
      <c r="Z29" s="37">
        <v>1977568.84</v>
      </c>
      <c r="AA29" s="37">
        <v>262726.56</v>
      </c>
      <c r="AB29" s="37">
        <v>0</v>
      </c>
      <c r="AC29" s="37">
        <v>0</v>
      </c>
      <c r="AD29" s="37">
        <v>489725.45</v>
      </c>
      <c r="AE29" s="37">
        <v>1225647.54</v>
      </c>
      <c r="AF29" s="37">
        <v>0</v>
      </c>
      <c r="AG29" s="37">
        <v>53057</v>
      </c>
      <c r="AH29" s="37">
        <v>101921</v>
      </c>
      <c r="AI29" s="37">
        <v>834356</v>
      </c>
      <c r="AJ29" s="37">
        <v>0</v>
      </c>
      <c r="AK29" s="37">
        <v>12900</v>
      </c>
      <c r="AL29" s="37">
        <v>96276.88</v>
      </c>
      <c r="AM29" s="37">
        <v>543109.06999999995</v>
      </c>
      <c r="AN29" s="37">
        <v>125186</v>
      </c>
      <c r="AO29" s="37">
        <v>25000</v>
      </c>
      <c r="AP29" s="37">
        <v>0</v>
      </c>
      <c r="AQ29" s="37">
        <v>0</v>
      </c>
      <c r="AR29" s="37">
        <v>338617</v>
      </c>
      <c r="AS29" s="37">
        <v>690111</v>
      </c>
      <c r="AT29" s="37">
        <v>0</v>
      </c>
      <c r="AU29" s="37">
        <v>0</v>
      </c>
      <c r="AV29" s="37">
        <v>0</v>
      </c>
      <c r="AW29" s="37">
        <v>2196247.12</v>
      </c>
      <c r="AX29" s="37">
        <v>81615</v>
      </c>
      <c r="AY29" s="37">
        <v>0</v>
      </c>
      <c r="AZ29" s="37">
        <v>2647583</v>
      </c>
      <c r="BA29" s="37">
        <v>460889</v>
      </c>
      <c r="BB29" s="37">
        <v>77796</v>
      </c>
      <c r="BC29" s="37">
        <v>639917</v>
      </c>
      <c r="BD29" s="182">
        <v>791487.55</v>
      </c>
      <c r="BE29" s="37">
        <v>1149.6400000000001</v>
      </c>
      <c r="BF29" s="37">
        <v>1106858.2</v>
      </c>
      <c r="BG29" s="37">
        <v>185722</v>
      </c>
      <c r="BH29" s="37">
        <v>62479.57</v>
      </c>
      <c r="BI29" s="37">
        <v>0</v>
      </c>
      <c r="BJ29" s="37">
        <v>0</v>
      </c>
      <c r="BK29" s="37">
        <v>0</v>
      </c>
      <c r="BL29" s="37">
        <v>150334</v>
      </c>
      <c r="BM29" s="37">
        <v>0</v>
      </c>
      <c r="BN29" s="37">
        <v>0</v>
      </c>
      <c r="BO29" s="37">
        <v>0</v>
      </c>
      <c r="BP29" s="37">
        <v>0</v>
      </c>
      <c r="BQ29" s="37">
        <v>0</v>
      </c>
      <c r="BR29" s="37">
        <v>0</v>
      </c>
      <c r="BS29" s="37">
        <v>0</v>
      </c>
      <c r="BT29" s="37">
        <v>0</v>
      </c>
      <c r="BU29" s="37">
        <v>0</v>
      </c>
      <c r="BV29" s="37">
        <v>0</v>
      </c>
      <c r="BW29" s="37">
        <v>1321724</v>
      </c>
      <c r="BX29" s="37">
        <v>-178864</v>
      </c>
      <c r="BY29" s="37">
        <v>10000</v>
      </c>
      <c r="BZ29" s="37">
        <v>0</v>
      </c>
      <c r="CA29" s="37">
        <v>82039</v>
      </c>
      <c r="CB29" s="37">
        <v>219559</v>
      </c>
      <c r="CC29" s="37">
        <v>10000</v>
      </c>
      <c r="CD29" s="37">
        <v>279366</v>
      </c>
      <c r="CE29" s="37">
        <v>186597</v>
      </c>
      <c r="CF29" s="37">
        <v>234716</v>
      </c>
      <c r="CG29" s="37">
        <v>221600</v>
      </c>
      <c r="CH29" s="37">
        <v>1251066</v>
      </c>
      <c r="CI29" s="37">
        <v>1820147</v>
      </c>
      <c r="CJ29" s="37">
        <v>1506961</v>
      </c>
      <c r="CK29" s="37">
        <v>45000</v>
      </c>
      <c r="CL29" s="37">
        <v>247002</v>
      </c>
      <c r="CM29" s="37">
        <v>170233</v>
      </c>
      <c r="CN29" s="37">
        <v>500</v>
      </c>
      <c r="CO29" s="37">
        <v>0</v>
      </c>
      <c r="CP29" s="37">
        <v>64362</v>
      </c>
      <c r="CQ29" s="37">
        <v>0</v>
      </c>
      <c r="CR29" s="37">
        <v>1021</v>
      </c>
      <c r="CS29" s="37">
        <v>0</v>
      </c>
      <c r="CT29" s="37">
        <v>7500</v>
      </c>
      <c r="CU29" s="383">
        <v>0</v>
      </c>
      <c r="CV29" s="189"/>
    </row>
    <row r="30" spans="1:100" ht="26.25" thickBot="1" x14ac:dyDescent="0.25">
      <c r="A30" s="3" t="s">
        <v>113</v>
      </c>
      <c r="B30" s="45" t="s">
        <v>52</v>
      </c>
      <c r="C30" s="52">
        <f>SUM(D30:DX30)</f>
        <v>129390265.94000001</v>
      </c>
      <c r="D30" s="41">
        <f>SUM(D28:D29)</f>
        <v>25134773</v>
      </c>
      <c r="E30" s="41">
        <f t="shared" ref="E30" si="24">SUM(E28:E29)</f>
        <v>15733484.17</v>
      </c>
      <c r="F30" s="41">
        <f t="shared" ref="F30:H30" si="25">SUM(F28:F29)</f>
        <v>0</v>
      </c>
      <c r="G30" s="41">
        <f t="shared" si="25"/>
        <v>31098135</v>
      </c>
      <c r="H30" s="41">
        <f t="shared" si="25"/>
        <v>5937647.2799999993</v>
      </c>
      <c r="I30" s="41">
        <f>SUM(I28:I29)</f>
        <v>1213231.3900000001</v>
      </c>
      <c r="J30" s="41">
        <f>SUM(J28:J29)</f>
        <v>6492246.5800000001</v>
      </c>
      <c r="K30" s="41">
        <f>SUM(K28:K29)</f>
        <v>0</v>
      </c>
      <c r="L30" s="41">
        <f t="shared" ref="L30" si="26">SUM(L28:L29)</f>
        <v>0</v>
      </c>
      <c r="M30" s="41">
        <f>SUM(M28:M29)</f>
        <v>268766</v>
      </c>
      <c r="N30" s="41">
        <f>SUM(N28:N29)</f>
        <v>9715817</v>
      </c>
      <c r="O30" s="41">
        <f t="shared" ref="O30:BG30" si="27">SUM(O28:O29)</f>
        <v>893373.11</v>
      </c>
      <c r="P30" s="41">
        <f t="shared" ref="P30:U30" si="28">SUM(P28:P29)</f>
        <v>908269.47</v>
      </c>
      <c r="Q30" s="41">
        <f t="shared" si="28"/>
        <v>2690944.35</v>
      </c>
      <c r="R30" s="41">
        <f t="shared" si="28"/>
        <v>91238.37</v>
      </c>
      <c r="S30" s="41">
        <f t="shared" si="28"/>
        <v>485996</v>
      </c>
      <c r="T30" s="41">
        <f t="shared" si="28"/>
        <v>299618</v>
      </c>
      <c r="U30" s="41">
        <f t="shared" si="28"/>
        <v>17400</v>
      </c>
      <c r="V30" s="41">
        <f t="shared" si="27"/>
        <v>567885.29</v>
      </c>
      <c r="W30" s="41">
        <f t="shared" ref="W30:AH30" si="29">SUM(W28:W29)</f>
        <v>163443.51</v>
      </c>
      <c r="X30" s="41">
        <f t="shared" si="29"/>
        <v>37303</v>
      </c>
      <c r="Y30" s="41">
        <f t="shared" si="29"/>
        <v>0</v>
      </c>
      <c r="Z30" s="41">
        <f t="shared" si="29"/>
        <v>2049602.84</v>
      </c>
      <c r="AA30" s="41">
        <f t="shared" si="29"/>
        <v>262726.56</v>
      </c>
      <c r="AB30" s="41">
        <f t="shared" si="29"/>
        <v>0</v>
      </c>
      <c r="AC30" s="41">
        <f t="shared" si="29"/>
        <v>0</v>
      </c>
      <c r="AD30" s="41">
        <f t="shared" si="29"/>
        <v>759062.45</v>
      </c>
      <c r="AE30" s="41">
        <f t="shared" si="29"/>
        <v>1225647.54</v>
      </c>
      <c r="AF30" s="41">
        <f t="shared" si="29"/>
        <v>0</v>
      </c>
      <c r="AG30" s="41">
        <f t="shared" si="29"/>
        <v>53057</v>
      </c>
      <c r="AH30" s="41">
        <f t="shared" si="29"/>
        <v>101921</v>
      </c>
      <c r="AI30" s="41">
        <f>SUM(AI28:AI29)</f>
        <v>834356</v>
      </c>
      <c r="AJ30" s="41">
        <f>SUM(AJ28:AJ29)</f>
        <v>0</v>
      </c>
      <c r="AK30" s="41">
        <f>SUM(AK28:AK29)</f>
        <v>12900</v>
      </c>
      <c r="AL30" s="41">
        <f t="shared" si="27"/>
        <v>96276.88</v>
      </c>
      <c r="AM30" s="41">
        <f>SUM(AM28:AM29)</f>
        <v>543109.06999999995</v>
      </c>
      <c r="AN30" s="41">
        <f>SUM(AN28:AN29)</f>
        <v>125186</v>
      </c>
      <c r="AO30" s="41">
        <f>SUM(AO28:AO29)</f>
        <v>25000</v>
      </c>
      <c r="AP30" s="41">
        <f t="shared" ref="AP30" si="30">SUM(AP28:AP29)</f>
        <v>0</v>
      </c>
      <c r="AQ30" s="41">
        <f t="shared" ref="AQ30:AX30" si="31">SUM(AQ28:AQ29)</f>
        <v>0</v>
      </c>
      <c r="AR30" s="41">
        <f t="shared" si="31"/>
        <v>338617</v>
      </c>
      <c r="AS30" s="41">
        <f t="shared" si="31"/>
        <v>840111</v>
      </c>
      <c r="AT30" s="41">
        <f t="shared" si="31"/>
        <v>0</v>
      </c>
      <c r="AU30" s="41">
        <f t="shared" si="31"/>
        <v>0</v>
      </c>
      <c r="AV30" s="41">
        <f t="shared" si="31"/>
        <v>0</v>
      </c>
      <c r="AW30" s="41">
        <f t="shared" si="31"/>
        <v>2671247.12</v>
      </c>
      <c r="AX30" s="41">
        <f t="shared" si="31"/>
        <v>81615</v>
      </c>
      <c r="AY30" s="41">
        <f t="shared" ref="AY30" si="32">SUM(AY28:AY29)</f>
        <v>0</v>
      </c>
      <c r="AZ30" s="41">
        <f t="shared" ref="AZ30" si="33">SUM(AZ28:AZ29)</f>
        <v>2647583</v>
      </c>
      <c r="BA30" s="41">
        <f t="shared" ref="BA30:BB30" si="34">SUM(BA28:BA29)</f>
        <v>460889</v>
      </c>
      <c r="BB30" s="41">
        <f t="shared" si="34"/>
        <v>1417103</v>
      </c>
      <c r="BC30" s="41">
        <f>SUM(BC28:BC29)</f>
        <v>728694</v>
      </c>
      <c r="BD30" s="354">
        <f>SUM(BD28:BD29)</f>
        <v>1231872.55</v>
      </c>
      <c r="BE30" s="41">
        <f>SUM(BE28:BE29)</f>
        <v>1149.6400000000001</v>
      </c>
      <c r="BF30" s="41">
        <f t="shared" si="27"/>
        <v>1106858.2</v>
      </c>
      <c r="BG30" s="41">
        <f t="shared" si="27"/>
        <v>185722</v>
      </c>
      <c r="BH30" s="41">
        <f t="shared" ref="BH30:BI30" si="35">SUM(BH28:BH29)</f>
        <v>62479.57</v>
      </c>
      <c r="BI30" s="41">
        <f t="shared" si="35"/>
        <v>0</v>
      </c>
      <c r="BJ30" s="41">
        <f>SUM(BJ28:BJ29)</f>
        <v>1184045</v>
      </c>
      <c r="BK30" s="41">
        <f>SUM(BK28:BK29)</f>
        <v>0</v>
      </c>
      <c r="BL30" s="41">
        <f t="shared" ref="BL30" si="36">SUM(BL28:BL29)</f>
        <v>150334</v>
      </c>
      <c r="BM30" s="41">
        <f t="shared" ref="BM30:BP30" si="37">SUM(BM28:BM29)</f>
        <v>0</v>
      </c>
      <c r="BN30" s="41">
        <f t="shared" si="37"/>
        <v>0</v>
      </c>
      <c r="BO30" s="41">
        <f t="shared" si="37"/>
        <v>0</v>
      </c>
      <c r="BP30" s="41">
        <f t="shared" si="37"/>
        <v>0</v>
      </c>
      <c r="BQ30" s="41">
        <f t="shared" ref="BQ30:BT30" si="38">SUM(BQ28:BQ29)</f>
        <v>0</v>
      </c>
      <c r="BR30" s="41">
        <f t="shared" si="38"/>
        <v>0</v>
      </c>
      <c r="BS30" s="41">
        <f t="shared" si="38"/>
        <v>0</v>
      </c>
      <c r="BT30" s="41">
        <f t="shared" si="38"/>
        <v>0</v>
      </c>
      <c r="BU30" s="41">
        <f>SUM(BU28:BU29)</f>
        <v>0</v>
      </c>
      <c r="BV30" s="41">
        <f>SUM(BV28:BV29)</f>
        <v>0</v>
      </c>
      <c r="BW30" s="41">
        <f>SUM(BW28:BW29)</f>
        <v>1321724</v>
      </c>
      <c r="BX30" s="41">
        <f>SUM(BX28:BX29)</f>
        <v>764136</v>
      </c>
      <c r="BY30" s="41">
        <f>SUM(BY28:BY29)</f>
        <v>10000</v>
      </c>
      <c r="BZ30" s="41">
        <f t="shared" ref="BZ30" si="39">SUM(BZ28:BZ29)</f>
        <v>0</v>
      </c>
      <c r="CA30" s="41">
        <f>SUM(CA28:CA29)</f>
        <v>82039</v>
      </c>
      <c r="CB30" s="41">
        <f t="shared" ref="CB30" si="40">SUM(CB28:CB29)</f>
        <v>219559</v>
      </c>
      <c r="CC30" s="41">
        <f>SUM(CC28:CC29)</f>
        <v>10000</v>
      </c>
      <c r="CD30" s="41">
        <f>SUM(CD28:CD29)</f>
        <v>279366</v>
      </c>
      <c r="CE30" s="41">
        <f t="shared" ref="CE30" si="41">SUM(CE28:CE29)</f>
        <v>186597</v>
      </c>
      <c r="CF30" s="41">
        <f>SUM(CF28:CF29)</f>
        <v>234716</v>
      </c>
      <c r="CG30" s="41">
        <f t="shared" ref="CG30" si="42">SUM(CG28:CG29)</f>
        <v>221600</v>
      </c>
      <c r="CH30" s="41">
        <f t="shared" ref="CH30:CK30" si="43">SUM(CH28:CH29)</f>
        <v>1251066</v>
      </c>
      <c r="CI30" s="41">
        <f t="shared" si="43"/>
        <v>1820147</v>
      </c>
      <c r="CJ30" s="41">
        <f t="shared" si="43"/>
        <v>1506961</v>
      </c>
      <c r="CK30" s="41">
        <f t="shared" si="43"/>
        <v>45000</v>
      </c>
      <c r="CL30" s="41">
        <f t="shared" ref="CL30" si="44">SUM(CL28:CL29)</f>
        <v>247002</v>
      </c>
      <c r="CM30" s="41">
        <f t="shared" ref="CM30" si="45">SUM(CM28:CM29)</f>
        <v>170233</v>
      </c>
      <c r="CN30" s="41">
        <f t="shared" ref="CN30" si="46">SUM(CN28:CN29)</f>
        <v>500</v>
      </c>
      <c r="CO30" s="41">
        <f t="shared" ref="CO30:CU30" si="47">SUM(CO28:CO29)</f>
        <v>0</v>
      </c>
      <c r="CP30" s="41">
        <f t="shared" si="47"/>
        <v>64362</v>
      </c>
      <c r="CQ30" s="41">
        <f t="shared" si="47"/>
        <v>0</v>
      </c>
      <c r="CR30" s="41">
        <f t="shared" si="47"/>
        <v>1021</v>
      </c>
      <c r="CS30" s="41">
        <f t="shared" si="47"/>
        <v>0</v>
      </c>
      <c r="CT30" s="41">
        <f t="shared" si="47"/>
        <v>7500</v>
      </c>
      <c r="CU30" s="345">
        <f t="shared" si="47"/>
        <v>0</v>
      </c>
      <c r="CV30" s="189"/>
    </row>
    <row r="31" spans="1:100" ht="13.5" thickBot="1" x14ac:dyDescent="0.25">
      <c r="A31" s="3"/>
      <c r="B31" s="19"/>
      <c r="C31" s="71"/>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189"/>
    </row>
    <row r="32" spans="1:100" ht="27.75" customHeight="1" x14ac:dyDescent="0.2">
      <c r="A32" s="3"/>
      <c r="B32" s="18" t="s">
        <v>57</v>
      </c>
      <c r="C32" s="161" t="s">
        <v>1070</v>
      </c>
      <c r="D32" s="338" t="s">
        <v>1071</v>
      </c>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376"/>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377"/>
      <c r="CV32" s="189"/>
    </row>
    <row r="33" spans="1:100" ht="13.5" thickBot="1" x14ac:dyDescent="0.25">
      <c r="A33" s="167" t="s">
        <v>114</v>
      </c>
      <c r="B33" s="393" t="s">
        <v>50</v>
      </c>
      <c r="C33" s="74"/>
      <c r="D33" s="58" t="s">
        <v>166</v>
      </c>
      <c r="E33" s="58" t="s">
        <v>166</v>
      </c>
      <c r="F33" s="58" t="s">
        <v>166</v>
      </c>
      <c r="G33" s="58" t="s">
        <v>177</v>
      </c>
      <c r="H33" s="58" t="s">
        <v>177</v>
      </c>
      <c r="I33" s="58" t="s">
        <v>166</v>
      </c>
      <c r="J33" s="58" t="s">
        <v>166</v>
      </c>
      <c r="K33" s="58" t="s">
        <v>166</v>
      </c>
      <c r="L33" s="58" t="s">
        <v>166</v>
      </c>
      <c r="M33" s="58" t="s">
        <v>166</v>
      </c>
      <c r="N33" s="58" t="s">
        <v>166</v>
      </c>
      <c r="O33" s="58" t="s">
        <v>166</v>
      </c>
      <c r="P33" s="58" t="s">
        <v>166</v>
      </c>
      <c r="Q33" s="58" t="s">
        <v>166</v>
      </c>
      <c r="R33" s="58" t="s">
        <v>166</v>
      </c>
      <c r="S33" s="58" t="s">
        <v>166</v>
      </c>
      <c r="T33" s="58" t="s">
        <v>166</v>
      </c>
      <c r="U33" s="58" t="s">
        <v>166</v>
      </c>
      <c r="V33" s="58" t="s">
        <v>166</v>
      </c>
      <c r="W33" s="58" t="s">
        <v>166</v>
      </c>
      <c r="X33" s="58" t="s">
        <v>166</v>
      </c>
      <c r="Y33" s="58" t="s">
        <v>166</v>
      </c>
      <c r="Z33" s="58" t="s">
        <v>166</v>
      </c>
      <c r="AA33" s="58" t="s">
        <v>166</v>
      </c>
      <c r="AB33" s="58" t="s">
        <v>166</v>
      </c>
      <c r="AC33" s="58" t="s">
        <v>166</v>
      </c>
      <c r="AD33" s="58" t="s">
        <v>166</v>
      </c>
      <c r="AE33" s="58" t="s">
        <v>166</v>
      </c>
      <c r="AF33" s="58" t="s">
        <v>166</v>
      </c>
      <c r="AG33" s="58" t="s">
        <v>166</v>
      </c>
      <c r="AH33" s="58" t="s">
        <v>166</v>
      </c>
      <c r="AI33" s="58" t="s">
        <v>166</v>
      </c>
      <c r="AJ33" s="58" t="s">
        <v>166</v>
      </c>
      <c r="AK33" s="58" t="s">
        <v>166</v>
      </c>
      <c r="AL33" s="58" t="s">
        <v>166</v>
      </c>
      <c r="AM33" s="58" t="s">
        <v>166</v>
      </c>
      <c r="AN33" s="58" t="s">
        <v>166</v>
      </c>
      <c r="AO33" s="58" t="s">
        <v>166</v>
      </c>
      <c r="AP33" s="58" t="s">
        <v>166</v>
      </c>
      <c r="AQ33" s="58" t="s">
        <v>166</v>
      </c>
      <c r="AR33" s="58" t="s">
        <v>166</v>
      </c>
      <c r="AS33" s="58" t="s">
        <v>166</v>
      </c>
      <c r="AT33" s="58" t="s">
        <v>166</v>
      </c>
      <c r="AU33" s="58" t="s">
        <v>166</v>
      </c>
      <c r="AV33" s="58" t="s">
        <v>166</v>
      </c>
      <c r="AW33" s="58" t="s">
        <v>166</v>
      </c>
      <c r="AX33" s="58" t="s">
        <v>166</v>
      </c>
      <c r="AY33" s="58" t="s">
        <v>166</v>
      </c>
      <c r="AZ33" s="58" t="s">
        <v>166</v>
      </c>
      <c r="BA33" s="58" t="s">
        <v>166</v>
      </c>
      <c r="BB33" s="58" t="s">
        <v>166</v>
      </c>
      <c r="BC33" s="58" t="s">
        <v>166</v>
      </c>
      <c r="BD33" s="394" t="s">
        <v>166</v>
      </c>
      <c r="BE33" s="58" t="s">
        <v>166</v>
      </c>
      <c r="BF33" s="58" t="s">
        <v>166</v>
      </c>
      <c r="BG33" s="58" t="s">
        <v>166</v>
      </c>
      <c r="BH33" s="58" t="s">
        <v>166</v>
      </c>
      <c r="BI33" s="58" t="s">
        <v>166</v>
      </c>
      <c r="BJ33" s="58" t="s">
        <v>166</v>
      </c>
      <c r="BK33" s="58" t="s">
        <v>166</v>
      </c>
      <c r="BL33" s="58" t="s">
        <v>166</v>
      </c>
      <c r="BM33" s="58" t="s">
        <v>166</v>
      </c>
      <c r="BN33" s="58" t="s">
        <v>166</v>
      </c>
      <c r="BO33" s="58" t="s">
        <v>166</v>
      </c>
      <c r="BP33" s="58" t="s">
        <v>166</v>
      </c>
      <c r="BQ33" s="58" t="s">
        <v>166</v>
      </c>
      <c r="BR33" s="58" t="s">
        <v>166</v>
      </c>
      <c r="BS33" s="58" t="s">
        <v>166</v>
      </c>
      <c r="BT33" s="58" t="s">
        <v>166</v>
      </c>
      <c r="BU33" s="58" t="s">
        <v>166</v>
      </c>
      <c r="BV33" s="58" t="s">
        <v>166</v>
      </c>
      <c r="BW33" s="58" t="s">
        <v>166</v>
      </c>
      <c r="BX33" s="58" t="s">
        <v>166</v>
      </c>
      <c r="BY33" s="58" t="s">
        <v>166</v>
      </c>
      <c r="BZ33" s="58" t="s">
        <v>166</v>
      </c>
      <c r="CA33" s="58" t="s">
        <v>166</v>
      </c>
      <c r="CB33" s="58" t="s">
        <v>166</v>
      </c>
      <c r="CC33" s="58" t="s">
        <v>166</v>
      </c>
      <c r="CD33" s="58" t="s">
        <v>166</v>
      </c>
      <c r="CE33" s="58" t="s">
        <v>166</v>
      </c>
      <c r="CF33" s="58" t="s">
        <v>166</v>
      </c>
      <c r="CG33" s="58" t="s">
        <v>166</v>
      </c>
      <c r="CH33" s="58" t="s">
        <v>166</v>
      </c>
      <c r="CI33" s="58" t="s">
        <v>166</v>
      </c>
      <c r="CJ33" s="58" t="s">
        <v>166</v>
      </c>
      <c r="CK33" s="58" t="s">
        <v>166</v>
      </c>
      <c r="CL33" s="58" t="s">
        <v>166</v>
      </c>
      <c r="CM33" s="58" t="s">
        <v>166</v>
      </c>
      <c r="CN33" s="58" t="s">
        <v>166</v>
      </c>
      <c r="CO33" s="58" t="s">
        <v>166</v>
      </c>
      <c r="CP33" s="58" t="s">
        <v>166</v>
      </c>
      <c r="CQ33" s="58" t="s">
        <v>166</v>
      </c>
      <c r="CR33" s="58" t="s">
        <v>166</v>
      </c>
      <c r="CS33" s="58" t="s">
        <v>166</v>
      </c>
      <c r="CT33" s="58" t="s">
        <v>166</v>
      </c>
      <c r="CU33" s="395" t="s">
        <v>166</v>
      </c>
      <c r="CV33" s="189"/>
    </row>
    <row r="34" spans="1:100" s="105" customFormat="1" ht="13.5" thickBot="1" x14ac:dyDescent="0.25">
      <c r="A34" s="167"/>
      <c r="B34" s="163"/>
      <c r="C34" s="166"/>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0"/>
      <c r="BN34" s="170"/>
      <c r="BO34" s="170"/>
      <c r="BP34" s="170"/>
      <c r="BQ34" s="170"/>
      <c r="BR34" s="170"/>
      <c r="BS34" s="170"/>
      <c r="BT34" s="170"/>
      <c r="BU34" s="170"/>
      <c r="BV34" s="170"/>
      <c r="BW34" s="170"/>
      <c r="BX34" s="170"/>
      <c r="BY34" s="170"/>
      <c r="BZ34" s="170"/>
      <c r="CA34" s="170"/>
      <c r="CB34" s="170"/>
      <c r="CC34" s="170"/>
      <c r="CD34" s="170"/>
      <c r="CE34" s="170"/>
      <c r="CF34" s="170"/>
      <c r="CG34" s="170"/>
      <c r="CH34" s="170"/>
      <c r="CI34" s="170"/>
      <c r="CJ34" s="170"/>
      <c r="CK34" s="170"/>
      <c r="CL34" s="170"/>
      <c r="CM34" s="170"/>
      <c r="CN34" s="170"/>
      <c r="CO34" s="170"/>
      <c r="CP34" s="170"/>
      <c r="CQ34" s="170"/>
      <c r="CR34" s="170"/>
      <c r="CS34" s="170"/>
      <c r="CT34" s="170"/>
      <c r="CU34" s="170"/>
      <c r="CV34" s="189"/>
    </row>
    <row r="35" spans="1:100" ht="39" hidden="1" outlineLevel="1" thickBot="1" x14ac:dyDescent="0.25">
      <c r="A35" s="23"/>
      <c r="B35" s="20"/>
      <c r="C35" s="14"/>
      <c r="D35" s="164" t="s">
        <v>210</v>
      </c>
      <c r="E35" s="164" t="s">
        <v>210</v>
      </c>
      <c r="F35" s="164" t="s">
        <v>210</v>
      </c>
      <c r="G35" s="164" t="s">
        <v>210</v>
      </c>
      <c r="H35" s="164" t="s">
        <v>210</v>
      </c>
      <c r="I35" s="164" t="s">
        <v>210</v>
      </c>
      <c r="J35" s="164" t="s">
        <v>210</v>
      </c>
      <c r="K35" s="164" t="s">
        <v>210</v>
      </c>
      <c r="L35" s="164" t="s">
        <v>210</v>
      </c>
      <c r="M35" s="164" t="s">
        <v>210</v>
      </c>
      <c r="N35" s="164" t="s">
        <v>210</v>
      </c>
      <c r="O35" s="156" t="s">
        <v>1062</v>
      </c>
      <c r="P35" s="156" t="s">
        <v>1062</v>
      </c>
      <c r="Q35" s="156" t="s">
        <v>1062</v>
      </c>
      <c r="R35" s="156" t="s">
        <v>1062</v>
      </c>
      <c r="S35" s="156" t="s">
        <v>1062</v>
      </c>
      <c r="T35" s="156" t="s">
        <v>1062</v>
      </c>
      <c r="U35" s="157" t="s">
        <v>1063</v>
      </c>
      <c r="V35" s="157" t="s">
        <v>1063</v>
      </c>
      <c r="W35" s="157" t="s">
        <v>1063</v>
      </c>
      <c r="X35" s="157" t="s">
        <v>1063</v>
      </c>
      <c r="Y35" s="157" t="s">
        <v>1063</v>
      </c>
      <c r="Z35" s="157" t="s">
        <v>1063</v>
      </c>
      <c r="AA35" s="157" t="s">
        <v>1063</v>
      </c>
      <c r="AB35" s="157" t="s">
        <v>1063</v>
      </c>
      <c r="AC35" s="157" t="s">
        <v>1063</v>
      </c>
      <c r="AD35" s="157" t="s">
        <v>1063</v>
      </c>
      <c r="AE35" s="157" t="s">
        <v>1063</v>
      </c>
      <c r="AF35" s="157" t="s">
        <v>1063</v>
      </c>
      <c r="AG35" s="157" t="s">
        <v>1063</v>
      </c>
      <c r="AH35" s="157" t="s">
        <v>1063</v>
      </c>
      <c r="AI35" s="157" t="s">
        <v>1063</v>
      </c>
      <c r="AJ35" s="157" t="s">
        <v>1063</v>
      </c>
      <c r="AK35" s="157" t="s">
        <v>1063</v>
      </c>
      <c r="AL35" s="158" t="s">
        <v>1064</v>
      </c>
      <c r="AM35" s="158" t="s">
        <v>1064</v>
      </c>
      <c r="AN35" s="158" t="s">
        <v>1064</v>
      </c>
      <c r="AO35" s="158" t="s">
        <v>1064</v>
      </c>
      <c r="AP35" s="158" t="s">
        <v>1064</v>
      </c>
      <c r="AQ35" s="158" t="s">
        <v>1064</v>
      </c>
      <c r="AR35" s="158" t="s">
        <v>1064</v>
      </c>
      <c r="AS35" s="158" t="s">
        <v>1064</v>
      </c>
      <c r="AT35" s="158" t="s">
        <v>1064</v>
      </c>
      <c r="AU35" s="158" t="s">
        <v>1064</v>
      </c>
      <c r="AV35" s="158" t="s">
        <v>1064</v>
      </c>
      <c r="AW35" s="159" t="s">
        <v>1065</v>
      </c>
      <c r="AX35" s="159" t="s">
        <v>1065</v>
      </c>
      <c r="AY35" s="159" t="s">
        <v>1065</v>
      </c>
      <c r="AZ35" s="159" t="s">
        <v>1065</v>
      </c>
      <c r="BA35" s="159" t="s">
        <v>1065</v>
      </c>
      <c r="BB35" s="159" t="s">
        <v>1065</v>
      </c>
      <c r="BC35" s="159" t="s">
        <v>1065</v>
      </c>
      <c r="BD35" s="160" t="s">
        <v>456</v>
      </c>
      <c r="BE35" s="160" t="s">
        <v>456</v>
      </c>
      <c r="BF35" s="160" t="s">
        <v>456</v>
      </c>
      <c r="BG35" s="160" t="s">
        <v>456</v>
      </c>
      <c r="BH35" s="160" t="s">
        <v>456</v>
      </c>
      <c r="BI35" s="160" t="s">
        <v>456</v>
      </c>
      <c r="BJ35" s="160" t="s">
        <v>456</v>
      </c>
      <c r="BK35" s="160" t="s">
        <v>456</v>
      </c>
      <c r="BL35" s="160" t="s">
        <v>456</v>
      </c>
      <c r="BM35" s="160" t="s">
        <v>456</v>
      </c>
      <c r="BN35" s="160" t="s">
        <v>456</v>
      </c>
      <c r="BO35" s="160" t="s">
        <v>456</v>
      </c>
      <c r="BP35" s="160" t="s">
        <v>456</v>
      </c>
      <c r="BQ35" s="160" t="s">
        <v>456</v>
      </c>
      <c r="BR35" s="160" t="s">
        <v>456</v>
      </c>
      <c r="BS35" s="160" t="s">
        <v>456</v>
      </c>
      <c r="BT35" s="160" t="s">
        <v>456</v>
      </c>
      <c r="BU35" s="160" t="s">
        <v>456</v>
      </c>
      <c r="BV35" s="160" t="s">
        <v>456</v>
      </c>
      <c r="BW35" s="160" t="s">
        <v>456</v>
      </c>
      <c r="BX35" s="160" t="s">
        <v>456</v>
      </c>
      <c r="BY35" s="160" t="s">
        <v>456</v>
      </c>
      <c r="BZ35" s="160" t="s">
        <v>456</v>
      </c>
      <c r="CA35" s="160" t="s">
        <v>456</v>
      </c>
      <c r="CB35" s="160" t="s">
        <v>456</v>
      </c>
      <c r="CC35" s="160" t="s">
        <v>456</v>
      </c>
      <c r="CD35" s="160" t="s">
        <v>456</v>
      </c>
      <c r="CE35" s="160" t="s">
        <v>456</v>
      </c>
      <c r="CF35" s="160" t="s">
        <v>456</v>
      </c>
      <c r="CG35" s="160" t="s">
        <v>456</v>
      </c>
      <c r="CH35" s="160" t="s">
        <v>456</v>
      </c>
      <c r="CI35" s="160" t="s">
        <v>456</v>
      </c>
      <c r="CJ35" s="160" t="s">
        <v>456</v>
      </c>
      <c r="CK35" s="160" t="s">
        <v>456</v>
      </c>
      <c r="CL35" s="160" t="s">
        <v>456</v>
      </c>
      <c r="CM35" s="160" t="s">
        <v>456</v>
      </c>
      <c r="CN35" s="160" t="s">
        <v>456</v>
      </c>
      <c r="CO35" s="160" t="s">
        <v>456</v>
      </c>
      <c r="CP35" s="160" t="s">
        <v>456</v>
      </c>
      <c r="CQ35" s="160" t="s">
        <v>456</v>
      </c>
      <c r="CR35" s="160" t="s">
        <v>456</v>
      </c>
      <c r="CS35" s="160" t="s">
        <v>456</v>
      </c>
      <c r="CT35" s="160" t="s">
        <v>456</v>
      </c>
      <c r="CU35" s="160" t="s">
        <v>456</v>
      </c>
      <c r="CV35" s="189"/>
    </row>
    <row r="36" spans="1:100" ht="25.5" collapsed="1" x14ac:dyDescent="0.2">
      <c r="A36" s="23"/>
      <c r="B36" s="21" t="s">
        <v>51</v>
      </c>
      <c r="C36" s="33"/>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7"/>
      <c r="BE36" s="346"/>
      <c r="BF36" s="346"/>
      <c r="BG36" s="346"/>
      <c r="BH36" s="346"/>
      <c r="BI36" s="346"/>
      <c r="BJ36" s="346"/>
      <c r="BK36" s="346"/>
      <c r="BL36" s="346"/>
      <c r="BM36" s="346"/>
      <c r="BN36" s="346"/>
      <c r="BO36" s="346"/>
      <c r="BP36" s="346"/>
      <c r="BQ36" s="346"/>
      <c r="BR36" s="346"/>
      <c r="BS36" s="346"/>
      <c r="BT36" s="346"/>
      <c r="BU36" s="346"/>
      <c r="BV36" s="346"/>
      <c r="BW36" s="346"/>
      <c r="BX36" s="346"/>
      <c r="BY36" s="346"/>
      <c r="BZ36" s="346"/>
      <c r="CA36" s="346"/>
      <c r="CB36" s="346"/>
      <c r="CC36" s="346"/>
      <c r="CD36" s="346"/>
      <c r="CE36" s="346"/>
      <c r="CF36" s="346"/>
      <c r="CG36" s="346"/>
      <c r="CH36" s="346"/>
      <c r="CI36" s="346"/>
      <c r="CJ36" s="346"/>
      <c r="CK36" s="346"/>
      <c r="CL36" s="346"/>
      <c r="CM36" s="346"/>
      <c r="CN36" s="346"/>
      <c r="CO36" s="346"/>
      <c r="CP36" s="346"/>
      <c r="CQ36" s="346"/>
      <c r="CR36" s="346"/>
      <c r="CS36" s="346"/>
      <c r="CT36" s="346"/>
      <c r="CU36" s="348"/>
      <c r="CV36" s="189"/>
    </row>
    <row r="37" spans="1:100" ht="89.25" outlineLevel="1" x14ac:dyDescent="0.2">
      <c r="A37" s="23" t="s">
        <v>115</v>
      </c>
      <c r="B37" s="34" t="s">
        <v>139</v>
      </c>
      <c r="C37" s="65"/>
      <c r="D37" s="59" t="str">
        <f t="shared" ref="D37:AH37" si="48">D4</f>
        <v xml:space="preserve">General Fund </v>
      </c>
      <c r="E37" s="59" t="str">
        <f t="shared" si="48"/>
        <v xml:space="preserve">General Fund </v>
      </c>
      <c r="F37" s="59" t="str">
        <f t="shared" si="48"/>
        <v>Indirect Cost</v>
      </c>
      <c r="G37" s="59" t="str">
        <f t="shared" si="48"/>
        <v>Federal Awards</v>
      </c>
      <c r="H37" s="59" t="str">
        <f t="shared" si="48"/>
        <v>Federal Awards, construction/land acquisition</v>
      </c>
      <c r="I37" s="59" t="str">
        <f t="shared" si="48"/>
        <v>Non-recurring General Funds</v>
      </c>
      <c r="J37" s="59" t="str">
        <f t="shared" si="48"/>
        <v>Agency Funds</v>
      </c>
      <c r="K37" s="59" t="str">
        <f t="shared" si="48"/>
        <v>3 Year Hunting &amp; Fishing Licenses</v>
      </c>
      <c r="L37" s="59" t="str">
        <f t="shared" si="48"/>
        <v>Gasoline Tax Allocation</v>
      </c>
      <c r="M37" s="59" t="str">
        <f t="shared" si="48"/>
        <v>Portion of Annual Freshwater Fishing license</v>
      </c>
      <c r="N37" s="59" t="str">
        <f t="shared" si="48"/>
        <v>Hunting &amp; Fishing licenses</v>
      </c>
      <c r="O37" s="59" t="str">
        <f t="shared" si="48"/>
        <v>Operation Game Thief/Property Watch, Court Fees, Litter Fines</v>
      </c>
      <c r="P37" s="59" t="str">
        <f t="shared" si="48"/>
        <v>Cash Transfer</v>
      </c>
      <c r="Q37" s="59" t="str">
        <f t="shared" si="48"/>
        <v>Boating Fines; Boat Titling &amp; Registration Fees</v>
      </c>
      <c r="R37" s="59" t="str">
        <f t="shared" si="48"/>
        <v>Cash Transfers</v>
      </c>
      <c r="S37" s="59" t="str">
        <f t="shared" si="48"/>
        <v>Antlerless Deer Tags</v>
      </c>
      <c r="T37" s="59" t="str">
        <f t="shared" si="48"/>
        <v>Shrimp Baiting and Saltwater Licenses</v>
      </c>
      <c r="U37" s="59" t="str">
        <f t="shared" si="48"/>
        <v>Hunting &amp; Fishing Fines</v>
      </c>
      <c r="V37" s="59" t="str">
        <f t="shared" si="48"/>
        <v>Magazine Subscriptions</v>
      </c>
      <c r="W37" s="59" t="str">
        <f t="shared" si="48"/>
        <v>State GIS  Coord, Graphics Services Collector Duck Stamp</v>
      </c>
      <c r="X37" s="59" t="str">
        <f t="shared" si="48"/>
        <v>Indirect Cost Recovery non PR/DJ Grants</v>
      </c>
      <c r="Y37" s="59" t="str">
        <f t="shared" si="48"/>
        <v>Overpayments</v>
      </c>
      <c r="Z37" s="59" t="str">
        <f t="shared" si="48"/>
        <v>Boat Titling &amp; Registration Fees</v>
      </c>
      <c r="AA37" s="59" t="str">
        <f t="shared" si="48"/>
        <v>Operating Contributions</v>
      </c>
      <c r="AB37" s="59" t="str">
        <f t="shared" si="48"/>
        <v>Unrestricted Donations</v>
      </c>
      <c r="AC37" s="59" t="str">
        <f t="shared" si="48"/>
        <v>Gasoline Tax Allocation(0.13)</v>
      </c>
      <c r="AD37" s="59" t="str">
        <f t="shared" si="48"/>
        <v>Cash Transfer</v>
      </c>
      <c r="AE37" s="59" t="str">
        <f t="shared" si="48"/>
        <v>Cash Transfer</v>
      </c>
      <c r="AF37" s="59" t="str">
        <f t="shared" si="48"/>
        <v>Lifetime License Fees</v>
      </c>
      <c r="AG37" s="59" t="str">
        <f t="shared" si="48"/>
        <v>Investment income for fund 46070000</v>
      </c>
      <c r="AH37" s="59" t="str">
        <f t="shared" si="48"/>
        <v>Vendor Fee for  hunting/fishing licenses</v>
      </c>
      <c r="AI37" s="59" t="str">
        <f t="shared" ref="AI37:BN37" si="49">AI4</f>
        <v>Indirect Cost Recovery-PR/DJ Grants</v>
      </c>
      <c r="AJ37" s="59" t="str">
        <f t="shared" si="49"/>
        <v>Investment Income 3 Year SW Licenses</v>
      </c>
      <c r="AK37" s="59" t="str">
        <f t="shared" si="49"/>
        <v>Vendor Fee for   saltwater fishing licenses</v>
      </c>
      <c r="AL37" s="59" t="str">
        <f t="shared" si="49"/>
        <v>Flood Training Registrations, weather certifications, printed products</v>
      </c>
      <c r="AM37" s="59" t="str">
        <f t="shared" si="49"/>
        <v>Cash Transfer</v>
      </c>
      <c r="AN37" s="59" t="str">
        <f t="shared" si="49"/>
        <v>Cash Transfers</v>
      </c>
      <c r="AO37" s="59" t="str">
        <f t="shared" si="49"/>
        <v>Map data, Core Sample logs, mineral rock kits and GIS publications</v>
      </c>
      <c r="AP37" s="59" t="str">
        <f t="shared" si="49"/>
        <v>Revenue passed to USGS for surface water, ground water, water quality station</v>
      </c>
      <c r="AQ37" s="59" t="str">
        <f t="shared" si="49"/>
        <v>Reimbursements for aquatic weed mgmt</v>
      </c>
      <c r="AR37" s="59" t="str">
        <f t="shared" si="49"/>
        <v>Heritage Trust Fund-Document Stamp</v>
      </c>
      <c r="AS37" s="59" t="str">
        <f t="shared" si="49"/>
        <v>Heritage Trust Fund-Document Stamp</v>
      </c>
      <c r="AT37" s="59" t="str">
        <f t="shared" si="49"/>
        <v>Document Stamp Tax portion</v>
      </c>
      <c r="AU37" s="59" t="str">
        <f t="shared" si="49"/>
        <v>Document Stamp Tax portion-Bond Repayment</v>
      </c>
      <c r="AV37" s="59" t="str">
        <f t="shared" si="49"/>
        <v>Donations</v>
      </c>
      <c r="AW37" s="59" t="str">
        <f t="shared" si="49"/>
        <v>CCEHBR Bldg Rent,  Research contracts, Vessel and Motor Pool accts,  Saltwater Pier Tax, Fishing License plate</v>
      </c>
      <c r="AX37" s="59" t="str">
        <f t="shared" si="49"/>
        <v>Heritage Trust Fund-Document Stamp</v>
      </c>
      <c r="AY37" s="59" t="str">
        <f t="shared" si="49"/>
        <v>3 Year Saltwater Fishing Licenses</v>
      </c>
      <c r="AZ37" s="59" t="str">
        <f t="shared" si="49"/>
        <v>Saltwater Recreational Fishing Licenses</v>
      </c>
      <c r="BA37" s="59" t="str">
        <f t="shared" si="49"/>
        <v>Commercial Saltwater licenses; Culture &amp; Mariculture Permit Fees</v>
      </c>
      <c r="BB37" s="59" t="str">
        <f t="shared" si="49"/>
        <v>Morgan Island Rent</v>
      </c>
      <c r="BC37" s="59" t="str">
        <f t="shared" si="49"/>
        <v>Indirect Cost Recovery</v>
      </c>
      <c r="BD37" s="184" t="str">
        <f t="shared" si="49"/>
        <v>Santee Accord Project, US Army COELake Russell Trout, Donations/Contributions</v>
      </c>
      <c r="BE37" s="59" t="str">
        <f t="shared" si="49"/>
        <v>Operating Contributions-Yawkey Foundation</v>
      </c>
      <c r="BF37" s="59" t="str">
        <f t="shared" si="49"/>
        <v>Cash Transfer from SC Conservation Bank</v>
      </c>
      <c r="BG37" s="59" t="str">
        <f t="shared" si="49"/>
        <v>Cash Transfer from SC Conservation Bank</v>
      </c>
      <c r="BH37" s="59" t="str">
        <f t="shared" si="49"/>
        <v>Hydroelectric Relicensing Agreement Settlement</v>
      </c>
      <c r="BI37" s="59" t="str">
        <f t="shared" si="49"/>
        <v>Hydroelectric Relicensing Agreement Settlement-Duke</v>
      </c>
      <c r="BJ37" s="59" t="str">
        <f t="shared" si="49"/>
        <v>Cash from Trust Fund 41257000</v>
      </c>
      <c r="BK37" s="59" t="str">
        <f t="shared" si="49"/>
        <v>Operating Contributions-Yawkey Foundation, Timber Sales</v>
      </c>
      <c r="BL37" s="59" t="str">
        <f t="shared" si="49"/>
        <v>Tax Check Off; License Plate</v>
      </c>
      <c r="BM37" s="59" t="str">
        <f t="shared" si="49"/>
        <v>Bannister Tract Timber, Cooks Mountain, Carolina Heelsplitter</v>
      </c>
      <c r="BN37" s="59" t="str">
        <f t="shared" si="49"/>
        <v>Duke Energy - annual</v>
      </c>
      <c r="BO37" s="59" t="str">
        <f t="shared" ref="BO37:CU37" si="50">BO4</f>
        <v>(long term  project, cash carryforward)</v>
      </c>
      <c r="BP37" s="59" t="str">
        <f t="shared" si="50"/>
        <v>SCANA - annual</v>
      </c>
      <c r="BQ37" s="59" t="str">
        <f t="shared" si="50"/>
        <v>Greenwood County Utility-annual</v>
      </c>
      <c r="BR37" s="59" t="str">
        <f t="shared" si="50"/>
        <v>(long term  project, cash carryforward)</v>
      </c>
      <c r="BS37" s="59" t="str">
        <f t="shared" si="50"/>
        <v>(long term  project, cash carryforward)</v>
      </c>
      <c r="BT37" s="59" t="str">
        <f t="shared" si="50"/>
        <v>(long term  project, cash carryforward)</v>
      </c>
      <c r="BU37" s="59" t="str">
        <f t="shared" si="50"/>
        <v>(long term  project, cash carryforward)</v>
      </c>
      <c r="BV37" s="59" t="str">
        <f t="shared" si="50"/>
        <v xml:space="preserve">Savannah Harbor Expansion Settlement </v>
      </c>
      <c r="BW37" s="59" t="str">
        <f t="shared" si="50"/>
        <v>Heritage Trust Fund-Document Stamp</v>
      </c>
      <c r="BX37" s="59" t="str">
        <f t="shared" si="50"/>
        <v>Cash Transfer from 43950000</v>
      </c>
      <c r="BY37" s="59" t="str">
        <f t="shared" si="50"/>
        <v>Cash Transfer from 43950001</v>
      </c>
      <c r="BZ37" s="59" t="str">
        <f t="shared" si="50"/>
        <v>Cash Transfer from 43950002</v>
      </c>
      <c r="CA37" s="59" t="str">
        <f t="shared" si="50"/>
        <v>Cash Transfer from 43950003</v>
      </c>
      <c r="CB37" s="59" t="str">
        <f t="shared" si="50"/>
        <v>Cash Transfer from 43950005</v>
      </c>
      <c r="CC37" s="59" t="str">
        <f t="shared" si="50"/>
        <v>Cash Transfer from 43950006</v>
      </c>
      <c r="CD37" s="59" t="str">
        <f t="shared" si="50"/>
        <v>Cash Transfer from 43950007</v>
      </c>
      <c r="CE37" s="59" t="str">
        <f t="shared" si="50"/>
        <v>Cash Transfer from 43957008</v>
      </c>
      <c r="CF37" s="59" t="str">
        <f t="shared" si="50"/>
        <v>Cash Transfer from 43950009</v>
      </c>
      <c r="CG37" s="59" t="str">
        <f t="shared" si="50"/>
        <v>Migratory Waterfowl Permit Fees</v>
      </c>
      <c r="CH37" s="59" t="str">
        <f t="shared" si="50"/>
        <v>Individual and Deer Quality Program Tag Fees</v>
      </c>
      <c r="CI37" s="59" t="str">
        <f t="shared" si="50"/>
        <v>Managed Lands  Timber Harvests</v>
      </c>
      <c r="CJ37" s="59" t="str">
        <f t="shared" si="50"/>
        <v>WMA Permit Fees</v>
      </c>
      <c r="CK37" s="59" t="str">
        <f t="shared" si="50"/>
        <v>Black Bear Public Hunt and Tag Fees</v>
      </c>
      <c r="CL37" s="59" t="str">
        <f t="shared" si="50"/>
        <v>Alligator Public Hunt, WMA Hunt and Tag Fees</v>
      </c>
      <c r="CM37" s="59" t="str">
        <f t="shared" si="50"/>
        <v>Grass Carp Certification Fees</v>
      </c>
      <c r="CN37" s="59" t="str">
        <f t="shared" si="50"/>
        <v>Aquaculture Permit Fees</v>
      </c>
      <c r="CO37" s="59" t="str">
        <f t="shared" si="50"/>
        <v>Miscellaneous Wildlife Permit Fees</v>
      </c>
      <c r="CP37" s="59" t="str">
        <f t="shared" si="50"/>
        <v>Public Hunt Application Fees</v>
      </c>
      <c r="CQ37" s="59" t="str">
        <f t="shared" si="50"/>
        <v>Restricted Deer Tag Fee - designated</v>
      </c>
      <c r="CR37" s="59" t="str">
        <f t="shared" si="50"/>
        <v>Annual Freshwater Nonresident License portion</v>
      </c>
      <c r="CS37" s="59" t="str">
        <f t="shared" si="50"/>
        <v>Fur Bearer Licenses and Permits</v>
      </c>
      <c r="CT37" s="59" t="str">
        <f t="shared" si="50"/>
        <v>Shooting Preserve Application Fee</v>
      </c>
      <c r="CU37" s="349" t="str">
        <f t="shared" si="50"/>
        <v>Donations, Timber Harvest</v>
      </c>
      <c r="CV37" s="189"/>
    </row>
    <row r="38" spans="1:100" outlineLevel="1" x14ac:dyDescent="0.2">
      <c r="A38" s="23" t="s">
        <v>116</v>
      </c>
      <c r="B38" s="34" t="s">
        <v>809</v>
      </c>
      <c r="C38" s="65" t="s">
        <v>34</v>
      </c>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184"/>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349"/>
      <c r="CV38" s="189"/>
    </row>
    <row r="39" spans="1:100" ht="114.75" outlineLevel="1" x14ac:dyDescent="0.2">
      <c r="A39" s="3" t="s">
        <v>117</v>
      </c>
      <c r="B39" s="57" t="s">
        <v>810</v>
      </c>
      <c r="C39" s="75" t="s">
        <v>34</v>
      </c>
      <c r="D39" s="56"/>
      <c r="E39" s="56"/>
      <c r="F39" s="56" t="s">
        <v>758</v>
      </c>
      <c r="G39" s="56" t="s">
        <v>757</v>
      </c>
      <c r="H39" s="56" t="s">
        <v>757</v>
      </c>
      <c r="I39" s="56"/>
      <c r="J39" s="56"/>
      <c r="K39" s="56"/>
      <c r="L39" s="56" t="s">
        <v>755</v>
      </c>
      <c r="M39" s="56" t="s">
        <v>756</v>
      </c>
      <c r="N39" s="56"/>
      <c r="O39" s="56"/>
      <c r="P39" s="56"/>
      <c r="Q39" s="56"/>
      <c r="R39" s="56"/>
      <c r="S39" s="56"/>
      <c r="T39" s="56"/>
      <c r="U39" s="56"/>
      <c r="V39" s="56" t="s">
        <v>246</v>
      </c>
      <c r="W39" s="56"/>
      <c r="X39" s="56"/>
      <c r="Y39" s="56"/>
      <c r="Z39" s="56"/>
      <c r="AA39" s="56" t="s">
        <v>243</v>
      </c>
      <c r="AB39" s="56"/>
      <c r="AC39" s="56"/>
      <c r="AD39" s="56"/>
      <c r="AE39" s="56"/>
      <c r="AF39" s="56"/>
      <c r="AG39" s="56"/>
      <c r="AH39" s="56"/>
      <c r="AI39" s="56"/>
      <c r="AJ39" s="56"/>
      <c r="AK39" s="56"/>
      <c r="AL39" s="56"/>
      <c r="AM39" s="56"/>
      <c r="AN39" s="56"/>
      <c r="AO39" s="56"/>
      <c r="AP39" s="56" t="s">
        <v>242</v>
      </c>
      <c r="AQ39" s="56"/>
      <c r="AR39" s="56"/>
      <c r="AS39" s="56"/>
      <c r="AT39" s="56"/>
      <c r="AU39" s="56"/>
      <c r="AV39" s="56"/>
      <c r="AW39" s="56"/>
      <c r="AX39" s="56"/>
      <c r="AY39" s="56"/>
      <c r="AZ39" s="56"/>
      <c r="BA39" s="56"/>
      <c r="BB39" s="56"/>
      <c r="BC39" s="56"/>
      <c r="BD39" s="185" t="s">
        <v>735</v>
      </c>
      <c r="BE39" s="56" t="s">
        <v>245</v>
      </c>
      <c r="BF39" s="56" t="s">
        <v>736</v>
      </c>
      <c r="BG39" s="56" t="s">
        <v>244</v>
      </c>
      <c r="BH39" s="56" t="s">
        <v>737</v>
      </c>
      <c r="BI39" s="56" t="s">
        <v>241</v>
      </c>
      <c r="BJ39" s="56" t="s">
        <v>245</v>
      </c>
      <c r="BK39" s="56" t="s">
        <v>245</v>
      </c>
      <c r="BL39" s="56" t="s">
        <v>738</v>
      </c>
      <c r="BM39" s="56" t="s">
        <v>739</v>
      </c>
      <c r="BN39" s="56" t="s">
        <v>739</v>
      </c>
      <c r="BO39" s="56" t="s">
        <v>739</v>
      </c>
      <c r="BP39" s="56" t="s">
        <v>739</v>
      </c>
      <c r="BQ39" s="56" t="s">
        <v>739</v>
      </c>
      <c r="BR39" s="56" t="s">
        <v>739</v>
      </c>
      <c r="BS39" s="56" t="s">
        <v>739</v>
      </c>
      <c r="BT39" s="56" t="s">
        <v>739</v>
      </c>
      <c r="BU39" s="56" t="s">
        <v>739</v>
      </c>
      <c r="BV39" s="56" t="s">
        <v>739</v>
      </c>
      <c r="BW39" s="56" t="s">
        <v>739</v>
      </c>
      <c r="BX39" s="56" t="s">
        <v>739</v>
      </c>
      <c r="BY39" s="56" t="s">
        <v>739</v>
      </c>
      <c r="BZ39" s="56" t="s">
        <v>739</v>
      </c>
      <c r="CA39" s="56" t="s">
        <v>739</v>
      </c>
      <c r="CB39" s="56" t="s">
        <v>739</v>
      </c>
      <c r="CC39" s="56" t="s">
        <v>739</v>
      </c>
      <c r="CD39" s="56" t="s">
        <v>739</v>
      </c>
      <c r="CE39" s="56" t="s">
        <v>739</v>
      </c>
      <c r="CF39" s="56" t="s">
        <v>739</v>
      </c>
      <c r="CG39" s="56" t="s">
        <v>740</v>
      </c>
      <c r="CH39" s="56" t="s">
        <v>741</v>
      </c>
      <c r="CI39" s="56" t="s">
        <v>803</v>
      </c>
      <c r="CJ39" s="56" t="s">
        <v>742</v>
      </c>
      <c r="CK39" s="56" t="s">
        <v>743</v>
      </c>
      <c r="CL39" s="56" t="s">
        <v>744</v>
      </c>
      <c r="CM39" s="56" t="s">
        <v>745</v>
      </c>
      <c r="CN39" s="56" t="s">
        <v>804</v>
      </c>
      <c r="CO39" s="56" t="s">
        <v>746</v>
      </c>
      <c r="CP39" s="56" t="s">
        <v>747</v>
      </c>
      <c r="CQ39" s="56" t="s">
        <v>748</v>
      </c>
      <c r="CR39" s="56" t="s">
        <v>749</v>
      </c>
      <c r="CS39" s="56" t="s">
        <v>750</v>
      </c>
      <c r="CT39" s="56" t="s">
        <v>751</v>
      </c>
      <c r="CU39" s="392"/>
      <c r="CV39" s="189"/>
    </row>
    <row r="40" spans="1:100" ht="91.5" customHeight="1" outlineLevel="1" x14ac:dyDescent="0.2">
      <c r="A40" s="23" t="s">
        <v>118</v>
      </c>
      <c r="B40" s="34" t="s">
        <v>42</v>
      </c>
      <c r="C40" s="76"/>
      <c r="D40" s="59" t="str">
        <f t="shared" ref="D40:E40" si="51">D23</f>
        <v xml:space="preserve">I.;  II.A.1.;  II.A.3.; II.B.1.; II.D.1.; II.D.3.; II.D.5.; II.E.1.;II.F.1.;  II.F.2.; II.G.1.; II. G.2.     </v>
      </c>
      <c r="E40" s="59" t="str">
        <f t="shared" si="51"/>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40" s="59" t="str">
        <f t="shared" ref="F40:H40" si="52">F23</f>
        <v xml:space="preserve"> II.E.1.; II.E.2.</v>
      </c>
      <c r="G40" s="59" t="str">
        <f t="shared" si="52"/>
        <v xml:space="preserve">I.;  II.A.1.; II.A.2.; II.A.3.; II.B.2.; II.D.1.; II.D.2.; II.E.1.; II.E.3.   </v>
      </c>
      <c r="H40" s="59" t="str">
        <f t="shared" si="52"/>
        <v>9942-Waddell Ctr Renovation;      9953-Chestnut Ridge Land Acq; 9950-Wateree Range Land Acq;         9946-Liberty Hill Land Acq;         9959-S Fenwick Isl Land Acq;         9966-Wateree Range Renovation</v>
      </c>
      <c r="I40" s="59" t="str">
        <f>I23</f>
        <v xml:space="preserve">9907-Cohen Campbell Hatchery;  9942-Waddell Ctr Renovation;       9960-Murphy Isl Dike;                   9962-Cedar Isl Dike;      9963-Samworth   Dike;                              9965-Spring Stevens Hatchery; 9967-Ft Johnson Boat Slip;          9968-Ft Johnson Roof Replacement        </v>
      </c>
      <c r="J40" s="59" t="str">
        <f>J23</f>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40" s="59" t="str">
        <f>K23</f>
        <v>I.</v>
      </c>
      <c r="L40" s="59" t="str">
        <f t="shared" ref="L40" si="53">L23</f>
        <v>II.B.1.</v>
      </c>
      <c r="M40" s="59" t="str">
        <f>M23</f>
        <v>II.C.3.;  II.D.1.; II.D.4.; II.E.1.;  II.F.1.</v>
      </c>
      <c r="N40" s="59" t="str">
        <f>N23</f>
        <v xml:space="preserve">I.;  II.A.1.; II.A.2.; II.A.3.; II.B.2.; II.D.1.; II.D.2.; II.E.1.; II.E.3.   </v>
      </c>
      <c r="O40" s="59" t="str">
        <f t="shared" ref="O40:BG40" si="54">O23</f>
        <v>II.E.1.</v>
      </c>
      <c r="P40" s="59" t="str">
        <f t="shared" ref="P40:U40" si="55">P23</f>
        <v>II.E.1.;   II.E.3.</v>
      </c>
      <c r="Q40" s="59" t="str">
        <f t="shared" si="55"/>
        <v>II.E.1.;   II.E.3.</v>
      </c>
      <c r="R40" s="59" t="str">
        <f t="shared" si="55"/>
        <v xml:space="preserve">II.E.1. </v>
      </c>
      <c r="S40" s="59" t="str">
        <f t="shared" si="55"/>
        <v>II.E.1.; II.E.3.</v>
      </c>
      <c r="T40" s="59" t="str">
        <f t="shared" si="55"/>
        <v>II.E.1.</v>
      </c>
      <c r="U40" s="59" t="str">
        <f t="shared" si="55"/>
        <v>II.C.3.</v>
      </c>
      <c r="V40" s="59" t="str">
        <f t="shared" si="54"/>
        <v>II.A.2.</v>
      </c>
      <c r="W40" s="59" t="str">
        <f t="shared" ref="W40:AH40" si="56">W23</f>
        <v>I.; II.A.1.; II.A.3.</v>
      </c>
      <c r="X40" s="59" t="str">
        <f t="shared" si="56"/>
        <v>I.</v>
      </c>
      <c r="Y40" s="59" t="str">
        <f t="shared" si="56"/>
        <v>II.B.1</v>
      </c>
      <c r="Z40" s="59" t="str">
        <f t="shared" si="56"/>
        <v>I.; II.A.1.; II.A.2.; II.A.3.; II.B.1.</v>
      </c>
      <c r="AA40" s="59" t="str">
        <f t="shared" si="56"/>
        <v>II.A.3.</v>
      </c>
      <c r="AB40" s="59" t="str">
        <f t="shared" si="56"/>
        <v>I.</v>
      </c>
      <c r="AC40" s="59" t="str">
        <f t="shared" si="56"/>
        <v>II.C.2.</v>
      </c>
      <c r="AD40" s="59" t="str">
        <f t="shared" si="56"/>
        <v>II.C.1.</v>
      </c>
      <c r="AE40" s="59" t="str">
        <f t="shared" si="56"/>
        <v>II.C.2.</v>
      </c>
      <c r="AF40" s="59" t="str">
        <f t="shared" si="56"/>
        <v>I.</v>
      </c>
      <c r="AG40" s="59" t="str">
        <f t="shared" si="56"/>
        <v>I.; II.B.2.</v>
      </c>
      <c r="AH40" s="59" t="str">
        <f t="shared" si="56"/>
        <v>II.B.2.</v>
      </c>
      <c r="AI40" s="59" t="str">
        <f>AI23</f>
        <v>I.; II.A.3.</v>
      </c>
      <c r="AJ40" s="59" t="str">
        <f>AJ23</f>
        <v xml:space="preserve"> II.F.1.;  II.F.2.</v>
      </c>
      <c r="AK40" s="59" t="str">
        <f>AK23</f>
        <v>II.B.2.</v>
      </c>
      <c r="AL40" s="59" t="str">
        <f t="shared" si="54"/>
        <v>II.G.1.; II. G.2.</v>
      </c>
      <c r="AM40" s="59" t="str">
        <f>AM23</f>
        <v>II.G.1.</v>
      </c>
      <c r="AN40" s="59" t="str">
        <f>AN23</f>
        <v>II.G.1.</v>
      </c>
      <c r="AO40" s="59" t="str">
        <f>AO23</f>
        <v>II.G.1.</v>
      </c>
      <c r="AP40" s="59" t="str">
        <f t="shared" ref="AP40" si="57">AP23</f>
        <v>II.G.1.</v>
      </c>
      <c r="AQ40" s="59" t="str">
        <f t="shared" ref="AQ40:AX40" si="58">AQ23</f>
        <v>II.G.1.</v>
      </c>
      <c r="AR40" s="59" t="str">
        <f t="shared" si="58"/>
        <v>II.G.3.</v>
      </c>
      <c r="AS40" s="59" t="str">
        <f t="shared" si="58"/>
        <v>II.G.3.</v>
      </c>
      <c r="AT40" s="59" t="str">
        <f t="shared" si="58"/>
        <v>II.G.3.</v>
      </c>
      <c r="AU40" s="59" t="str">
        <f t="shared" si="58"/>
        <v>II.G.3.</v>
      </c>
      <c r="AV40" s="59" t="str">
        <f t="shared" si="58"/>
        <v>II.G.1.</v>
      </c>
      <c r="AW40" s="59" t="str">
        <f t="shared" si="58"/>
        <v xml:space="preserve">II.F.1.; II.F.2.  </v>
      </c>
      <c r="AX40" s="59" t="str">
        <f t="shared" si="58"/>
        <v>II.G.3.</v>
      </c>
      <c r="AY40" s="59" t="str">
        <f t="shared" ref="AY40" si="59">AY23</f>
        <v>I.</v>
      </c>
      <c r="AZ40" s="59" t="str">
        <f t="shared" ref="AZ40" si="60">AZ23</f>
        <v>II.A.3.;   II.F.1.;  II.F.2.</v>
      </c>
      <c r="BA40" s="59" t="str">
        <f t="shared" ref="BA40:BB40" si="61">BA23</f>
        <v>II.B.2.;   II.F.1.;  II.F.2.</v>
      </c>
      <c r="BB40" s="59" t="str">
        <f t="shared" si="61"/>
        <v>II.D.1.;  II.F.1.;   II.F.2.</v>
      </c>
      <c r="BC40" s="59" t="str">
        <f>BC23</f>
        <v xml:space="preserve"> II.F.1.;  II.F.2.</v>
      </c>
      <c r="BD40" s="184" t="str">
        <f>BD23</f>
        <v xml:space="preserve">II.D.1.; II.D.2.; II.D.3.; II.D.4.; II.D.5.   </v>
      </c>
      <c r="BE40" s="59" t="str">
        <f>BE23</f>
        <v>II.D.2.</v>
      </c>
      <c r="BF40" s="59" t="str">
        <f t="shared" si="54"/>
        <v>II.D.1.</v>
      </c>
      <c r="BG40" s="59" t="str">
        <f t="shared" si="54"/>
        <v>II.D.1.</v>
      </c>
      <c r="BH40" s="59" t="str">
        <f t="shared" ref="BH40:BI40" si="62">BH23</f>
        <v>II.D.4.</v>
      </c>
      <c r="BI40" s="59" t="str">
        <f t="shared" si="62"/>
        <v>II.D.1.   II.D.4.</v>
      </c>
      <c r="BJ40" s="59" t="str">
        <f>BJ23</f>
        <v>II.D.2.</v>
      </c>
      <c r="BK40" s="59" t="str">
        <f>BK23</f>
        <v>II.D.2.</v>
      </c>
      <c r="BL40" s="59" t="str">
        <f t="shared" ref="BL40" si="63">BL23</f>
        <v>II.D.3.</v>
      </c>
      <c r="BM40" s="59" t="str">
        <f t="shared" ref="BM40:BP40" si="64">BM23</f>
        <v>II.D.1.; II.D.4.</v>
      </c>
      <c r="BN40" s="59" t="str">
        <f t="shared" si="64"/>
        <v>II.D.4.</v>
      </c>
      <c r="BO40" s="59" t="str">
        <f t="shared" si="64"/>
        <v>II.D.4.</v>
      </c>
      <c r="BP40" s="59" t="str">
        <f t="shared" si="64"/>
        <v>II.D.4.</v>
      </c>
      <c r="BQ40" s="59" t="str">
        <f t="shared" ref="BQ40:BT40" si="65">BQ23</f>
        <v>II.D.4.</v>
      </c>
      <c r="BR40" s="59" t="str">
        <f t="shared" si="65"/>
        <v>II.D.4.</v>
      </c>
      <c r="BS40" s="59" t="str">
        <f t="shared" si="65"/>
        <v>II.D.1.</v>
      </c>
      <c r="BT40" s="59" t="str">
        <f t="shared" si="65"/>
        <v>II.D.1.</v>
      </c>
      <c r="BU40" s="59" t="str">
        <f>BU23</f>
        <v>II.D.4.</v>
      </c>
      <c r="BV40" s="59" t="str">
        <f>BV23</f>
        <v>II.D.4.</v>
      </c>
      <c r="BW40" s="59" t="str">
        <f>BW23</f>
        <v>II.G.3.</v>
      </c>
      <c r="BX40" s="59" t="str">
        <f>BX23</f>
        <v>II.D.1.; II.D.4.</v>
      </c>
      <c r="BY40" s="59" t="str">
        <f>BY23</f>
        <v>II.D.4.</v>
      </c>
      <c r="BZ40" s="59" t="str">
        <f t="shared" ref="BZ40" si="66">BZ23</f>
        <v>II.D.4.</v>
      </c>
      <c r="CA40" s="59" t="str">
        <f>CA23</f>
        <v>II.D.4.</v>
      </c>
      <c r="CB40" s="59" t="str">
        <f t="shared" ref="CB40" si="67">CB23</f>
        <v>II.D.4.</v>
      </c>
      <c r="CC40" s="59" t="str">
        <f>CC23</f>
        <v>II.D.1.</v>
      </c>
      <c r="CD40" s="59" t="str">
        <f>CD23</f>
        <v>II.D.1.</v>
      </c>
      <c r="CE40" s="59" t="str">
        <f t="shared" ref="CE40" si="68">CE23</f>
        <v>II.D.4.</v>
      </c>
      <c r="CF40" s="59" t="str">
        <f>CF23</f>
        <v>II.D.4.</v>
      </c>
      <c r="CG40" s="59" t="str">
        <f t="shared" ref="CG40" si="69">CG23</f>
        <v>II.D.2.</v>
      </c>
      <c r="CH40" s="59" t="str">
        <f t="shared" ref="CH40:CK40" si="70">CH23</f>
        <v>II.B.2.; II.D.2.</v>
      </c>
      <c r="CI40" s="59" t="str">
        <f t="shared" si="70"/>
        <v>II.D.1.; II.D.3.</v>
      </c>
      <c r="CJ40" s="59" t="str">
        <f t="shared" si="70"/>
        <v>II.D.1.</v>
      </c>
      <c r="CK40" s="59" t="str">
        <f t="shared" si="70"/>
        <v>II.D.2.</v>
      </c>
      <c r="CL40" s="59" t="str">
        <f t="shared" ref="CL40" si="71">CL23</f>
        <v>II.D.2.</v>
      </c>
      <c r="CM40" s="59" t="str">
        <f t="shared" ref="CM40" si="72">CM23</f>
        <v>II.D.4.;  II.D.5.</v>
      </c>
      <c r="CN40" s="59" t="str">
        <f t="shared" ref="CN40" si="73">CN23</f>
        <v>II.D.4.</v>
      </c>
      <c r="CO40" s="59" t="str">
        <f t="shared" ref="CO40:CU40" si="74">CO23</f>
        <v>II.D.1.</v>
      </c>
      <c r="CP40" s="59" t="str">
        <f t="shared" si="74"/>
        <v>II.D.1.</v>
      </c>
      <c r="CQ40" s="59" t="str">
        <f t="shared" si="74"/>
        <v>II.D.2.</v>
      </c>
      <c r="CR40" s="59" t="str">
        <f t="shared" si="74"/>
        <v>II.D.5.</v>
      </c>
      <c r="CS40" s="59" t="str">
        <f t="shared" si="74"/>
        <v>II.D.2.</v>
      </c>
      <c r="CT40" s="59" t="str">
        <f t="shared" si="74"/>
        <v>II.D.1.</v>
      </c>
      <c r="CU40" s="349" t="str">
        <f t="shared" si="74"/>
        <v>II.D.1.</v>
      </c>
      <c r="CV40" s="189"/>
    </row>
    <row r="41" spans="1:100" ht="25.5" x14ac:dyDescent="0.2">
      <c r="A41" s="23" t="s">
        <v>119</v>
      </c>
      <c r="B41" s="30" t="s">
        <v>36</v>
      </c>
      <c r="C41" s="51">
        <f>C30</f>
        <v>129390265.94000001</v>
      </c>
      <c r="D41" s="29">
        <f t="shared" ref="D41:E41" si="75">D30</f>
        <v>25134773</v>
      </c>
      <c r="E41" s="29">
        <f t="shared" si="75"/>
        <v>15733484.17</v>
      </c>
      <c r="F41" s="29">
        <f t="shared" ref="F41:H41" si="76">F30</f>
        <v>0</v>
      </c>
      <c r="G41" s="29">
        <f t="shared" si="76"/>
        <v>31098135</v>
      </c>
      <c r="H41" s="29">
        <f t="shared" si="76"/>
        <v>5937647.2799999993</v>
      </c>
      <c r="I41" s="29">
        <f>I30</f>
        <v>1213231.3900000001</v>
      </c>
      <c r="J41" s="29">
        <f>J30</f>
        <v>6492246.5800000001</v>
      </c>
      <c r="K41" s="29">
        <f>K30</f>
        <v>0</v>
      </c>
      <c r="L41" s="29">
        <f t="shared" ref="L41" si="77">L30</f>
        <v>0</v>
      </c>
      <c r="M41" s="29">
        <f>M30</f>
        <v>268766</v>
      </c>
      <c r="N41" s="29">
        <f>N30</f>
        <v>9715817</v>
      </c>
      <c r="O41" s="29">
        <f t="shared" ref="O41:BG41" si="78">O30</f>
        <v>893373.11</v>
      </c>
      <c r="P41" s="29">
        <f t="shared" ref="P41:U41" si="79">P30</f>
        <v>908269.47</v>
      </c>
      <c r="Q41" s="29">
        <f t="shared" si="79"/>
        <v>2690944.35</v>
      </c>
      <c r="R41" s="29">
        <f t="shared" si="79"/>
        <v>91238.37</v>
      </c>
      <c r="S41" s="29">
        <f t="shared" si="79"/>
        <v>485996</v>
      </c>
      <c r="T41" s="29">
        <f t="shared" si="79"/>
        <v>299618</v>
      </c>
      <c r="U41" s="29">
        <f t="shared" si="79"/>
        <v>17400</v>
      </c>
      <c r="V41" s="29">
        <f t="shared" si="78"/>
        <v>567885.29</v>
      </c>
      <c r="W41" s="29">
        <f t="shared" ref="W41:AH41" si="80">W30</f>
        <v>163443.51</v>
      </c>
      <c r="X41" s="29">
        <f t="shared" si="80"/>
        <v>37303</v>
      </c>
      <c r="Y41" s="29">
        <f t="shared" si="80"/>
        <v>0</v>
      </c>
      <c r="Z41" s="29">
        <f t="shared" si="80"/>
        <v>2049602.84</v>
      </c>
      <c r="AA41" s="29">
        <f t="shared" si="80"/>
        <v>262726.56</v>
      </c>
      <c r="AB41" s="29">
        <f t="shared" si="80"/>
        <v>0</v>
      </c>
      <c r="AC41" s="29">
        <f t="shared" si="80"/>
        <v>0</v>
      </c>
      <c r="AD41" s="29">
        <f t="shared" si="80"/>
        <v>759062.45</v>
      </c>
      <c r="AE41" s="29">
        <f t="shared" si="80"/>
        <v>1225647.54</v>
      </c>
      <c r="AF41" s="29">
        <f t="shared" si="80"/>
        <v>0</v>
      </c>
      <c r="AG41" s="29">
        <f t="shared" si="80"/>
        <v>53057</v>
      </c>
      <c r="AH41" s="29">
        <f t="shared" si="80"/>
        <v>101921</v>
      </c>
      <c r="AI41" s="29">
        <f>AI30</f>
        <v>834356</v>
      </c>
      <c r="AJ41" s="29">
        <f>AJ30</f>
        <v>0</v>
      </c>
      <c r="AK41" s="29">
        <f>AK30</f>
        <v>12900</v>
      </c>
      <c r="AL41" s="29">
        <f t="shared" si="78"/>
        <v>96276.88</v>
      </c>
      <c r="AM41" s="29">
        <f>AM30</f>
        <v>543109.06999999995</v>
      </c>
      <c r="AN41" s="29">
        <f>AN30</f>
        <v>125186</v>
      </c>
      <c r="AO41" s="29">
        <f>AO30</f>
        <v>25000</v>
      </c>
      <c r="AP41" s="29">
        <f t="shared" ref="AP41" si="81">AP30</f>
        <v>0</v>
      </c>
      <c r="AQ41" s="29">
        <f t="shared" ref="AQ41:AX41" si="82">AQ30</f>
        <v>0</v>
      </c>
      <c r="AR41" s="29">
        <f t="shared" si="82"/>
        <v>338617</v>
      </c>
      <c r="AS41" s="29">
        <f t="shared" si="82"/>
        <v>840111</v>
      </c>
      <c r="AT41" s="29">
        <f t="shared" si="82"/>
        <v>0</v>
      </c>
      <c r="AU41" s="29">
        <f t="shared" si="82"/>
        <v>0</v>
      </c>
      <c r="AV41" s="29">
        <f t="shared" si="82"/>
        <v>0</v>
      </c>
      <c r="AW41" s="29">
        <f t="shared" si="82"/>
        <v>2671247.12</v>
      </c>
      <c r="AX41" s="29">
        <f t="shared" si="82"/>
        <v>81615</v>
      </c>
      <c r="AY41" s="29">
        <f t="shared" ref="AY41" si="83">AY30</f>
        <v>0</v>
      </c>
      <c r="AZ41" s="29">
        <f t="shared" ref="AZ41" si="84">AZ30</f>
        <v>2647583</v>
      </c>
      <c r="BA41" s="29">
        <f t="shared" ref="BA41:BB41" si="85">BA30</f>
        <v>460889</v>
      </c>
      <c r="BB41" s="29">
        <f t="shared" si="85"/>
        <v>1417103</v>
      </c>
      <c r="BC41" s="29">
        <f>BC30</f>
        <v>728694</v>
      </c>
      <c r="BD41" s="180">
        <f>BD30</f>
        <v>1231872.55</v>
      </c>
      <c r="BE41" s="29">
        <f>BE30</f>
        <v>1149.6400000000001</v>
      </c>
      <c r="BF41" s="29">
        <f t="shared" si="78"/>
        <v>1106858.2</v>
      </c>
      <c r="BG41" s="29">
        <f t="shared" si="78"/>
        <v>185722</v>
      </c>
      <c r="BH41" s="29">
        <f t="shared" ref="BH41:BI41" si="86">BH30</f>
        <v>62479.57</v>
      </c>
      <c r="BI41" s="29">
        <f t="shared" si="86"/>
        <v>0</v>
      </c>
      <c r="BJ41" s="29">
        <f>BJ30</f>
        <v>1184045</v>
      </c>
      <c r="BK41" s="29">
        <f>BK30</f>
        <v>0</v>
      </c>
      <c r="BL41" s="29">
        <f t="shared" ref="BL41" si="87">BL30</f>
        <v>150334</v>
      </c>
      <c r="BM41" s="29">
        <f t="shared" ref="BM41:BP41" si="88">BM30</f>
        <v>0</v>
      </c>
      <c r="BN41" s="29">
        <f t="shared" si="88"/>
        <v>0</v>
      </c>
      <c r="BO41" s="29">
        <f t="shared" si="88"/>
        <v>0</v>
      </c>
      <c r="BP41" s="29">
        <f t="shared" si="88"/>
        <v>0</v>
      </c>
      <c r="BQ41" s="29">
        <f t="shared" ref="BQ41:BT41" si="89">BQ30</f>
        <v>0</v>
      </c>
      <c r="BR41" s="29">
        <f t="shared" si="89"/>
        <v>0</v>
      </c>
      <c r="BS41" s="29">
        <f t="shared" si="89"/>
        <v>0</v>
      </c>
      <c r="BT41" s="29">
        <f t="shared" si="89"/>
        <v>0</v>
      </c>
      <c r="BU41" s="29">
        <f>BU30</f>
        <v>0</v>
      </c>
      <c r="BV41" s="29">
        <f>BV30</f>
        <v>0</v>
      </c>
      <c r="BW41" s="29">
        <f>BW30</f>
        <v>1321724</v>
      </c>
      <c r="BX41" s="29">
        <f>BX30</f>
        <v>764136</v>
      </c>
      <c r="BY41" s="29">
        <f>BY30</f>
        <v>10000</v>
      </c>
      <c r="BZ41" s="29">
        <f t="shared" ref="BZ41" si="90">BZ30</f>
        <v>0</v>
      </c>
      <c r="CA41" s="29">
        <f>CA30</f>
        <v>82039</v>
      </c>
      <c r="CB41" s="29">
        <f t="shared" ref="CB41" si="91">CB30</f>
        <v>219559</v>
      </c>
      <c r="CC41" s="29">
        <f>CC30</f>
        <v>10000</v>
      </c>
      <c r="CD41" s="29">
        <f>CD30</f>
        <v>279366</v>
      </c>
      <c r="CE41" s="29">
        <f t="shared" ref="CE41" si="92">CE30</f>
        <v>186597</v>
      </c>
      <c r="CF41" s="29">
        <f>CF30</f>
        <v>234716</v>
      </c>
      <c r="CG41" s="29">
        <f t="shared" ref="CG41" si="93">CG30</f>
        <v>221600</v>
      </c>
      <c r="CH41" s="29">
        <f t="shared" ref="CH41:CK41" si="94">CH30</f>
        <v>1251066</v>
      </c>
      <c r="CI41" s="29">
        <f t="shared" si="94"/>
        <v>1820147</v>
      </c>
      <c r="CJ41" s="29">
        <f t="shared" si="94"/>
        <v>1506961</v>
      </c>
      <c r="CK41" s="29">
        <f t="shared" si="94"/>
        <v>45000</v>
      </c>
      <c r="CL41" s="29">
        <f t="shared" ref="CL41" si="95">CL30</f>
        <v>247002</v>
      </c>
      <c r="CM41" s="29">
        <f t="shared" ref="CM41" si="96">CM30</f>
        <v>170233</v>
      </c>
      <c r="CN41" s="29">
        <f t="shared" ref="CN41" si="97">CN30</f>
        <v>500</v>
      </c>
      <c r="CO41" s="29">
        <f t="shared" ref="CO41:CU41" si="98">CO30</f>
        <v>0</v>
      </c>
      <c r="CP41" s="29">
        <f t="shared" si="98"/>
        <v>64362</v>
      </c>
      <c r="CQ41" s="29">
        <f t="shared" si="98"/>
        <v>0</v>
      </c>
      <c r="CR41" s="29">
        <f t="shared" si="98"/>
        <v>1021</v>
      </c>
      <c r="CS41" s="29">
        <f t="shared" si="98"/>
        <v>0</v>
      </c>
      <c r="CT41" s="29">
        <f t="shared" si="98"/>
        <v>7500</v>
      </c>
      <c r="CU41" s="361">
        <f t="shared" si="98"/>
        <v>0</v>
      </c>
      <c r="CV41" s="189"/>
    </row>
    <row r="42" spans="1:100" ht="25.5" x14ac:dyDescent="0.2">
      <c r="A42" s="23"/>
      <c r="B42" s="362" t="s">
        <v>1010</v>
      </c>
      <c r="C42" s="173"/>
      <c r="D42" s="174" t="s">
        <v>19</v>
      </c>
      <c r="E42" s="174" t="s">
        <v>19</v>
      </c>
      <c r="F42" s="174" t="s">
        <v>19</v>
      </c>
      <c r="G42" s="174" t="s">
        <v>19</v>
      </c>
      <c r="H42" s="174" t="s">
        <v>19</v>
      </c>
      <c r="I42" s="174" t="s">
        <v>19</v>
      </c>
      <c r="J42" s="174" t="s">
        <v>19</v>
      </c>
      <c r="K42" s="174" t="s">
        <v>19</v>
      </c>
      <c r="L42" s="174" t="s">
        <v>19</v>
      </c>
      <c r="M42" s="174" t="s">
        <v>19</v>
      </c>
      <c r="N42" s="174" t="s">
        <v>19</v>
      </c>
      <c r="O42" s="174" t="s">
        <v>19</v>
      </c>
      <c r="P42" s="174" t="s">
        <v>19</v>
      </c>
      <c r="Q42" s="174" t="s">
        <v>19</v>
      </c>
      <c r="R42" s="174" t="s">
        <v>19</v>
      </c>
      <c r="S42" s="174" t="s">
        <v>19</v>
      </c>
      <c r="T42" s="174" t="s">
        <v>19</v>
      </c>
      <c r="U42" s="174" t="s">
        <v>19</v>
      </c>
      <c r="V42" s="174" t="s">
        <v>19</v>
      </c>
      <c r="W42" s="174" t="s">
        <v>19</v>
      </c>
      <c r="X42" s="174" t="s">
        <v>19</v>
      </c>
      <c r="Y42" s="174" t="s">
        <v>19</v>
      </c>
      <c r="Z42" s="174" t="s">
        <v>19</v>
      </c>
      <c r="AA42" s="174" t="s">
        <v>19</v>
      </c>
      <c r="AB42" s="174" t="s">
        <v>19</v>
      </c>
      <c r="AC42" s="174" t="s">
        <v>19</v>
      </c>
      <c r="AD42" s="174" t="s">
        <v>19</v>
      </c>
      <c r="AE42" s="174" t="s">
        <v>19</v>
      </c>
      <c r="AF42" s="174" t="s">
        <v>19</v>
      </c>
      <c r="AG42" s="174" t="s">
        <v>19</v>
      </c>
      <c r="AH42" s="174" t="s">
        <v>19</v>
      </c>
      <c r="AI42" s="174" t="s">
        <v>19</v>
      </c>
      <c r="AJ42" s="174" t="s">
        <v>19</v>
      </c>
      <c r="AK42" s="174" t="s">
        <v>19</v>
      </c>
      <c r="AL42" s="174" t="s">
        <v>19</v>
      </c>
      <c r="AM42" s="174" t="s">
        <v>19</v>
      </c>
      <c r="AN42" s="174" t="s">
        <v>19</v>
      </c>
      <c r="AO42" s="174" t="s">
        <v>19</v>
      </c>
      <c r="AP42" s="174" t="s">
        <v>19</v>
      </c>
      <c r="AQ42" s="174" t="s">
        <v>19</v>
      </c>
      <c r="AR42" s="174" t="s">
        <v>19</v>
      </c>
      <c r="AS42" s="174" t="s">
        <v>19</v>
      </c>
      <c r="AT42" s="174" t="s">
        <v>19</v>
      </c>
      <c r="AU42" s="174" t="s">
        <v>19</v>
      </c>
      <c r="AV42" s="174" t="s">
        <v>19</v>
      </c>
      <c r="AW42" s="174" t="s">
        <v>19</v>
      </c>
      <c r="AX42" s="174" t="s">
        <v>19</v>
      </c>
      <c r="AY42" s="174" t="s">
        <v>19</v>
      </c>
      <c r="AZ42" s="174" t="s">
        <v>19</v>
      </c>
      <c r="BA42" s="174" t="s">
        <v>19</v>
      </c>
      <c r="BB42" s="174" t="s">
        <v>19</v>
      </c>
      <c r="BC42" s="174" t="s">
        <v>19</v>
      </c>
      <c r="BD42" s="175" t="s">
        <v>19</v>
      </c>
      <c r="BE42" s="174" t="s">
        <v>19</v>
      </c>
      <c r="BF42" s="174" t="s">
        <v>19</v>
      </c>
      <c r="BG42" s="174" t="s">
        <v>19</v>
      </c>
      <c r="BH42" s="174" t="s">
        <v>19</v>
      </c>
      <c r="BI42" s="174" t="s">
        <v>19</v>
      </c>
      <c r="BJ42" s="174" t="s">
        <v>19</v>
      </c>
      <c r="BK42" s="174" t="s">
        <v>19</v>
      </c>
      <c r="BL42" s="174" t="s">
        <v>19</v>
      </c>
      <c r="BM42" s="174" t="s">
        <v>19</v>
      </c>
      <c r="BN42" s="174" t="s">
        <v>19</v>
      </c>
      <c r="BO42" s="174" t="s">
        <v>19</v>
      </c>
      <c r="BP42" s="174" t="s">
        <v>19</v>
      </c>
      <c r="BQ42" s="174" t="s">
        <v>19</v>
      </c>
      <c r="BR42" s="174" t="s">
        <v>19</v>
      </c>
      <c r="BS42" s="174" t="s">
        <v>19</v>
      </c>
      <c r="BT42" s="174" t="s">
        <v>19</v>
      </c>
      <c r="BU42" s="174" t="s">
        <v>19</v>
      </c>
      <c r="BV42" s="174" t="s">
        <v>19</v>
      </c>
      <c r="BW42" s="174" t="s">
        <v>19</v>
      </c>
      <c r="BX42" s="174" t="s">
        <v>19</v>
      </c>
      <c r="BY42" s="174" t="s">
        <v>19</v>
      </c>
      <c r="BZ42" s="174" t="s">
        <v>19</v>
      </c>
      <c r="CA42" s="174" t="s">
        <v>19</v>
      </c>
      <c r="CB42" s="174" t="s">
        <v>19</v>
      </c>
      <c r="CC42" s="174" t="s">
        <v>19</v>
      </c>
      <c r="CD42" s="174" t="s">
        <v>19</v>
      </c>
      <c r="CE42" s="174" t="s">
        <v>19</v>
      </c>
      <c r="CF42" s="174" t="s">
        <v>19</v>
      </c>
      <c r="CG42" s="174" t="s">
        <v>19</v>
      </c>
      <c r="CH42" s="174" t="s">
        <v>19</v>
      </c>
      <c r="CI42" s="174" t="s">
        <v>19</v>
      </c>
      <c r="CJ42" s="174" t="s">
        <v>19</v>
      </c>
      <c r="CK42" s="174" t="s">
        <v>19</v>
      </c>
      <c r="CL42" s="174" t="s">
        <v>19</v>
      </c>
      <c r="CM42" s="174" t="s">
        <v>19</v>
      </c>
      <c r="CN42" s="174" t="s">
        <v>19</v>
      </c>
      <c r="CO42" s="174" t="s">
        <v>19</v>
      </c>
      <c r="CP42" s="174" t="s">
        <v>19</v>
      </c>
      <c r="CQ42" s="174" t="s">
        <v>19</v>
      </c>
      <c r="CR42" s="174" t="s">
        <v>19</v>
      </c>
      <c r="CS42" s="174" t="s">
        <v>19</v>
      </c>
      <c r="CT42" s="174" t="s">
        <v>19</v>
      </c>
      <c r="CU42" s="363" t="s">
        <v>19</v>
      </c>
      <c r="CV42" s="189"/>
    </row>
    <row r="43" spans="1:100" ht="73.5" customHeight="1" x14ac:dyDescent="0.2">
      <c r="A43" s="4" t="s">
        <v>1017</v>
      </c>
      <c r="B43" s="364" t="s">
        <v>1072</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4"/>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c r="CD43" s="193"/>
      <c r="CE43" s="193"/>
      <c r="CF43" s="193"/>
      <c r="CG43" s="193"/>
      <c r="CH43" s="193"/>
      <c r="CI43" s="193"/>
      <c r="CJ43" s="193"/>
      <c r="CK43" s="193"/>
      <c r="CL43" s="193"/>
      <c r="CM43" s="193"/>
      <c r="CN43" s="193"/>
      <c r="CO43" s="193"/>
      <c r="CP43" s="193"/>
      <c r="CQ43" s="193"/>
      <c r="CR43" s="193"/>
      <c r="CS43" s="193"/>
      <c r="CT43" s="193"/>
      <c r="CU43" s="365"/>
      <c r="CV43" s="189"/>
    </row>
    <row r="44" spans="1:100" ht="69.75" customHeight="1" x14ac:dyDescent="0.2">
      <c r="A44" s="4" t="s">
        <v>1017</v>
      </c>
      <c r="B44" s="366" t="s">
        <v>1073</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2"/>
      <c r="BE44" s="191"/>
      <c r="BF44" s="191"/>
      <c r="BG44" s="191"/>
      <c r="BH44" s="191"/>
      <c r="BI44" s="191"/>
      <c r="BJ44" s="191"/>
      <c r="BK44" s="191"/>
      <c r="BL44" s="191"/>
      <c r="BM44" s="191"/>
      <c r="BN44" s="191"/>
      <c r="BO44" s="191"/>
      <c r="BP44" s="191"/>
      <c r="BQ44" s="191"/>
      <c r="BR44" s="191"/>
      <c r="BS44" s="191"/>
      <c r="BT44" s="191"/>
      <c r="BU44" s="191"/>
      <c r="BV44" s="191"/>
      <c r="BW44" s="191"/>
      <c r="BX44" s="191"/>
      <c r="BY44" s="191"/>
      <c r="BZ44" s="191"/>
      <c r="CA44" s="191"/>
      <c r="CB44" s="191"/>
      <c r="CC44" s="191"/>
      <c r="CD44" s="191"/>
      <c r="CE44" s="191"/>
      <c r="CF44" s="191"/>
      <c r="CG44" s="191"/>
      <c r="CH44" s="191"/>
      <c r="CI44" s="191"/>
      <c r="CJ44" s="191"/>
      <c r="CK44" s="191"/>
      <c r="CL44" s="191"/>
      <c r="CM44" s="191"/>
      <c r="CN44" s="191"/>
      <c r="CO44" s="191"/>
      <c r="CP44" s="191"/>
      <c r="CQ44" s="191"/>
      <c r="CR44" s="191"/>
      <c r="CS44" s="191"/>
      <c r="CT44" s="191"/>
      <c r="CU44" s="367"/>
      <c r="CV44" s="189"/>
    </row>
    <row r="45" spans="1:100" ht="51" x14ac:dyDescent="0.2">
      <c r="A45" s="4" t="s">
        <v>1046</v>
      </c>
      <c r="B45" s="368" t="s">
        <v>1075</v>
      </c>
      <c r="C45" s="84">
        <f>SUM(D45:DX45)</f>
        <v>1725644.86</v>
      </c>
      <c r="D45" s="29">
        <v>835259.41</v>
      </c>
      <c r="E45" s="29">
        <v>329028.40999999997</v>
      </c>
      <c r="F45" s="29">
        <v>0</v>
      </c>
      <c r="G45" s="29">
        <v>55871</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v>
      </c>
      <c r="AF45" s="29">
        <v>0</v>
      </c>
      <c r="AG45" s="29">
        <v>0</v>
      </c>
      <c r="AH45" s="29">
        <v>0</v>
      </c>
      <c r="AI45" s="29">
        <v>0</v>
      </c>
      <c r="AJ45" s="29">
        <v>0</v>
      </c>
      <c r="AK45" s="29">
        <v>0</v>
      </c>
      <c r="AL45" s="29">
        <v>4000</v>
      </c>
      <c r="AM45" s="29">
        <v>0</v>
      </c>
      <c r="AN45" s="29">
        <v>6830.04</v>
      </c>
      <c r="AO45" s="29">
        <v>0</v>
      </c>
      <c r="AP45" s="29">
        <v>494656</v>
      </c>
      <c r="AQ45" s="29">
        <v>0</v>
      </c>
      <c r="AR45" s="29">
        <v>0</v>
      </c>
      <c r="AS45" s="29">
        <v>0</v>
      </c>
      <c r="AT45" s="29">
        <v>0</v>
      </c>
      <c r="AU45" s="29">
        <v>0</v>
      </c>
      <c r="AV45" s="29">
        <v>0</v>
      </c>
      <c r="AW45" s="29">
        <v>0</v>
      </c>
      <c r="AX45" s="29">
        <v>0</v>
      </c>
      <c r="AY45" s="29">
        <v>0</v>
      </c>
      <c r="AZ45" s="29">
        <v>0</v>
      </c>
      <c r="BA45" s="29">
        <v>0</v>
      </c>
      <c r="BB45" s="29">
        <v>0</v>
      </c>
      <c r="BC45" s="29">
        <v>0</v>
      </c>
      <c r="BD45" s="180">
        <v>0</v>
      </c>
      <c r="BE45" s="29">
        <v>0</v>
      </c>
      <c r="BF45" s="29">
        <v>0</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361">
        <v>0</v>
      </c>
      <c r="CV45" s="189"/>
    </row>
    <row r="46" spans="1:100" ht="38.25" x14ac:dyDescent="0.2">
      <c r="A46" s="4" t="s">
        <v>1047</v>
      </c>
      <c r="B46" s="368" t="s">
        <v>1076</v>
      </c>
      <c r="C46" s="84">
        <f>SUM(D46:DX46)</f>
        <v>1343219.13</v>
      </c>
      <c r="D46" s="29">
        <v>575252.87</v>
      </c>
      <c r="E46" s="29">
        <v>481458.55</v>
      </c>
      <c r="F46" s="29">
        <v>0</v>
      </c>
      <c r="G46" s="29">
        <v>214703</v>
      </c>
      <c r="H46" s="29">
        <v>0</v>
      </c>
      <c r="I46" s="29">
        <v>0</v>
      </c>
      <c r="J46" s="29">
        <v>0</v>
      </c>
      <c r="K46" s="29">
        <v>0</v>
      </c>
      <c r="L46" s="29">
        <v>0</v>
      </c>
      <c r="M46" s="29">
        <v>0</v>
      </c>
      <c r="N46" s="29">
        <v>0</v>
      </c>
      <c r="O46" s="29">
        <v>0</v>
      </c>
      <c r="P46" s="29">
        <v>0</v>
      </c>
      <c r="Q46" s="29">
        <v>0</v>
      </c>
      <c r="R46" s="29">
        <v>0</v>
      </c>
      <c r="S46" s="29">
        <v>0</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0</v>
      </c>
      <c r="AJ46" s="29">
        <v>0</v>
      </c>
      <c r="AK46" s="29">
        <v>0</v>
      </c>
      <c r="AL46" s="29">
        <v>0</v>
      </c>
      <c r="AM46" s="29">
        <v>0</v>
      </c>
      <c r="AN46" s="29">
        <v>59095.43</v>
      </c>
      <c r="AO46" s="29">
        <v>12709.28</v>
      </c>
      <c r="AP46" s="29">
        <v>0</v>
      </c>
      <c r="AQ46" s="29">
        <v>0</v>
      </c>
      <c r="AR46" s="29">
        <v>0</v>
      </c>
      <c r="AS46" s="29">
        <v>0</v>
      </c>
      <c r="AT46" s="29">
        <v>0</v>
      </c>
      <c r="AU46" s="29">
        <v>0</v>
      </c>
      <c r="AV46" s="29">
        <v>0</v>
      </c>
      <c r="AW46" s="29">
        <v>0</v>
      </c>
      <c r="AX46" s="29">
        <v>0</v>
      </c>
      <c r="AY46" s="29">
        <v>0</v>
      </c>
      <c r="AZ46" s="29">
        <v>0</v>
      </c>
      <c r="BA46" s="29">
        <v>0</v>
      </c>
      <c r="BB46" s="29">
        <v>0</v>
      </c>
      <c r="BC46" s="29">
        <v>0</v>
      </c>
      <c r="BD46" s="180">
        <v>0</v>
      </c>
      <c r="BE46" s="29">
        <v>0</v>
      </c>
      <c r="BF46" s="29">
        <v>0</v>
      </c>
      <c r="BG46" s="29">
        <v>0</v>
      </c>
      <c r="BH46" s="29">
        <v>0</v>
      </c>
      <c r="BI46" s="29">
        <v>0</v>
      </c>
      <c r="BJ46" s="29">
        <v>0</v>
      </c>
      <c r="BK46" s="29">
        <v>0</v>
      </c>
      <c r="BL46" s="29">
        <v>0</v>
      </c>
      <c r="BM46" s="29">
        <v>0</v>
      </c>
      <c r="BN46" s="29">
        <v>0</v>
      </c>
      <c r="BO46" s="29">
        <v>0</v>
      </c>
      <c r="BP46" s="29">
        <v>0</v>
      </c>
      <c r="BQ46" s="29">
        <v>0</v>
      </c>
      <c r="BR46" s="29">
        <v>0</v>
      </c>
      <c r="BS46" s="29">
        <v>0</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9">
        <v>0</v>
      </c>
      <c r="CS46" s="29">
        <v>0</v>
      </c>
      <c r="CT46" s="29">
        <v>0</v>
      </c>
      <c r="CU46" s="361">
        <v>0</v>
      </c>
      <c r="CV46" s="189"/>
    </row>
    <row r="47" spans="1:100" ht="38.25" x14ac:dyDescent="0.2">
      <c r="A47" s="4" t="s">
        <v>1048</v>
      </c>
      <c r="B47" s="369" t="s">
        <v>1077</v>
      </c>
      <c r="C47" s="84">
        <f>SUM(D47:DX47)</f>
        <v>109911.26999999999</v>
      </c>
      <c r="D47" s="29">
        <v>96294.22</v>
      </c>
      <c r="E47" s="29">
        <v>6787.01</v>
      </c>
      <c r="F47" s="29">
        <v>0</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0</v>
      </c>
      <c r="AB47" s="29">
        <v>0</v>
      </c>
      <c r="AC47" s="29">
        <v>0</v>
      </c>
      <c r="AD47" s="29">
        <v>0</v>
      </c>
      <c r="AE47" s="29">
        <v>0</v>
      </c>
      <c r="AF47" s="29">
        <v>0</v>
      </c>
      <c r="AG47" s="29">
        <v>0</v>
      </c>
      <c r="AH47" s="29">
        <v>0</v>
      </c>
      <c r="AI47" s="29">
        <v>0</v>
      </c>
      <c r="AJ47" s="29">
        <v>0</v>
      </c>
      <c r="AK47" s="29">
        <v>0</v>
      </c>
      <c r="AL47" s="29">
        <v>0</v>
      </c>
      <c r="AM47" s="29">
        <v>0</v>
      </c>
      <c r="AN47" s="29">
        <v>6830.04</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180">
        <v>0</v>
      </c>
      <c r="BE47" s="29">
        <v>0</v>
      </c>
      <c r="BF47" s="29">
        <v>0</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361">
        <v>0</v>
      </c>
      <c r="CV47" s="189"/>
    </row>
    <row r="48" spans="1:100" ht="51" x14ac:dyDescent="0.2">
      <c r="A48" s="4" t="s">
        <v>1017</v>
      </c>
      <c r="B48" s="366" t="s">
        <v>1074</v>
      </c>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2"/>
      <c r="BE48" s="191"/>
      <c r="BF48" s="191"/>
      <c r="BG48" s="191"/>
      <c r="BH48" s="191"/>
      <c r="BI48" s="191"/>
      <c r="BJ48" s="191"/>
      <c r="BK48" s="191"/>
      <c r="BL48" s="191"/>
      <c r="BM48" s="191"/>
      <c r="BN48" s="191"/>
      <c r="BO48" s="191"/>
      <c r="BP48" s="191"/>
      <c r="BQ48" s="191"/>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367"/>
      <c r="CV48" s="189"/>
    </row>
    <row r="49" spans="1:100" ht="38.25" x14ac:dyDescent="0.2">
      <c r="A49" s="4" t="s">
        <v>1049</v>
      </c>
      <c r="B49" s="370" t="s">
        <v>1078</v>
      </c>
      <c r="C49" s="84">
        <f>SUM(D49:DX49)</f>
        <v>305497.63999999996</v>
      </c>
      <c r="D49" s="29">
        <v>292054.14</v>
      </c>
      <c r="E49" s="29">
        <v>6606.85</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0</v>
      </c>
      <c r="AJ49" s="29">
        <v>0</v>
      </c>
      <c r="AK49" s="29">
        <v>0</v>
      </c>
      <c r="AL49" s="29">
        <v>6.61</v>
      </c>
      <c r="AM49" s="29">
        <v>0</v>
      </c>
      <c r="AN49" s="29">
        <v>6830.04</v>
      </c>
      <c r="AO49" s="29">
        <v>0</v>
      </c>
      <c r="AP49" s="29">
        <v>0</v>
      </c>
      <c r="AQ49" s="29">
        <v>0</v>
      </c>
      <c r="AR49" s="29">
        <v>0</v>
      </c>
      <c r="AS49" s="29">
        <v>0</v>
      </c>
      <c r="AT49" s="29">
        <v>0</v>
      </c>
      <c r="AU49" s="29">
        <v>0</v>
      </c>
      <c r="AV49" s="29">
        <v>0</v>
      </c>
      <c r="AW49" s="29">
        <v>0</v>
      </c>
      <c r="AX49" s="29">
        <v>0</v>
      </c>
      <c r="AY49" s="29">
        <v>0</v>
      </c>
      <c r="AZ49" s="29">
        <v>0</v>
      </c>
      <c r="BA49" s="29">
        <v>0</v>
      </c>
      <c r="BB49" s="29">
        <v>0</v>
      </c>
      <c r="BC49" s="29">
        <v>0</v>
      </c>
      <c r="BD49" s="180">
        <v>0</v>
      </c>
      <c r="BE49" s="29">
        <v>0</v>
      </c>
      <c r="BF49" s="29">
        <v>0</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361">
        <v>0</v>
      </c>
      <c r="CV49" s="189"/>
    </row>
    <row r="50" spans="1:100" ht="51" x14ac:dyDescent="0.2">
      <c r="A50" s="4" t="s">
        <v>1050</v>
      </c>
      <c r="B50" s="371" t="s">
        <v>1079</v>
      </c>
      <c r="C50" s="84">
        <f>SUM(D50:DX50)</f>
        <v>1747965.26</v>
      </c>
      <c r="D50" s="29">
        <v>79175.77</v>
      </c>
      <c r="E50" s="29">
        <v>0</v>
      </c>
      <c r="F50" s="29">
        <v>0</v>
      </c>
      <c r="G50" s="29">
        <v>1656999</v>
      </c>
      <c r="H50" s="29">
        <v>0</v>
      </c>
      <c r="I50" s="29">
        <v>0</v>
      </c>
      <c r="J50" s="29">
        <v>0</v>
      </c>
      <c r="K50" s="29">
        <v>0</v>
      </c>
      <c r="L50" s="29">
        <v>0</v>
      </c>
      <c r="M50" s="29">
        <v>0</v>
      </c>
      <c r="N50" s="29">
        <v>0</v>
      </c>
      <c r="O50" s="29">
        <v>0</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c r="AK50" s="29">
        <v>0</v>
      </c>
      <c r="AL50" s="29">
        <v>4960.45</v>
      </c>
      <c r="AM50" s="29">
        <v>0</v>
      </c>
      <c r="AN50" s="29">
        <v>6830.04</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180">
        <v>0</v>
      </c>
      <c r="BE50" s="29">
        <v>0</v>
      </c>
      <c r="BF50" s="29">
        <v>0</v>
      </c>
      <c r="BG50" s="29">
        <v>0</v>
      </c>
      <c r="BH50" s="29">
        <v>0</v>
      </c>
      <c r="BI50" s="29">
        <v>0</v>
      </c>
      <c r="BJ50" s="29">
        <v>0</v>
      </c>
      <c r="BK50" s="29">
        <v>0</v>
      </c>
      <c r="BL50" s="29">
        <v>0</v>
      </c>
      <c r="BM50" s="29">
        <v>0</v>
      </c>
      <c r="BN50" s="29">
        <v>0</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361">
        <v>0</v>
      </c>
      <c r="CV50" s="189"/>
    </row>
    <row r="51" spans="1:100" ht="51" x14ac:dyDescent="0.2">
      <c r="A51" s="4" t="s">
        <v>1017</v>
      </c>
      <c r="B51" s="366" t="s">
        <v>1080</v>
      </c>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2"/>
      <c r="BE51" s="191"/>
      <c r="BF51" s="191"/>
      <c r="BG51" s="191"/>
      <c r="BH51" s="191"/>
      <c r="BI51" s="191"/>
      <c r="BJ51" s="191"/>
      <c r="BK51" s="191"/>
      <c r="BL51" s="191"/>
      <c r="BM51" s="191"/>
      <c r="BN51" s="191"/>
      <c r="BO51" s="191"/>
      <c r="BP51" s="191"/>
      <c r="BQ51" s="191"/>
      <c r="BR51" s="191"/>
      <c r="BS51" s="191"/>
      <c r="BT51" s="191"/>
      <c r="BU51" s="191"/>
      <c r="BV51" s="191"/>
      <c r="BW51" s="191"/>
      <c r="BX51" s="191"/>
      <c r="BY51" s="191"/>
      <c r="BZ51" s="191"/>
      <c r="CA51" s="191"/>
      <c r="CB51" s="191"/>
      <c r="CC51" s="191"/>
      <c r="CD51" s="191"/>
      <c r="CE51" s="191"/>
      <c r="CF51" s="191"/>
      <c r="CG51" s="191"/>
      <c r="CH51" s="191"/>
      <c r="CI51" s="191"/>
      <c r="CJ51" s="191"/>
      <c r="CK51" s="191"/>
      <c r="CL51" s="191"/>
      <c r="CM51" s="191"/>
      <c r="CN51" s="191"/>
      <c r="CO51" s="191"/>
      <c r="CP51" s="191"/>
      <c r="CQ51" s="191"/>
      <c r="CR51" s="191"/>
      <c r="CS51" s="191"/>
      <c r="CT51" s="191"/>
      <c r="CU51" s="367"/>
      <c r="CV51" s="189"/>
    </row>
    <row r="52" spans="1:100" ht="76.5" x14ac:dyDescent="0.2">
      <c r="A52" s="4" t="s">
        <v>1051</v>
      </c>
      <c r="B52" s="371" t="s">
        <v>1081</v>
      </c>
      <c r="C52" s="84">
        <f>SUM(D52:DX52)</f>
        <v>700283.63</v>
      </c>
      <c r="D52" s="29">
        <v>15970.39</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v>
      </c>
      <c r="AK52" s="29">
        <v>0</v>
      </c>
      <c r="AL52" s="29">
        <v>0</v>
      </c>
      <c r="AM52" s="29">
        <v>525141.6</v>
      </c>
      <c r="AN52" s="29">
        <v>6830.04</v>
      </c>
      <c r="AO52" s="29">
        <v>0</v>
      </c>
      <c r="AP52" s="29">
        <v>0</v>
      </c>
      <c r="AQ52" s="29">
        <v>152341.6</v>
      </c>
      <c r="AR52" s="29">
        <v>0</v>
      </c>
      <c r="AS52" s="29">
        <v>0</v>
      </c>
      <c r="AT52" s="29">
        <v>0</v>
      </c>
      <c r="AU52" s="29">
        <v>0</v>
      </c>
      <c r="AV52" s="29">
        <v>0</v>
      </c>
      <c r="AW52" s="29">
        <v>0</v>
      </c>
      <c r="AX52" s="29">
        <v>0</v>
      </c>
      <c r="AY52" s="29">
        <v>0</v>
      </c>
      <c r="AZ52" s="29">
        <v>0</v>
      </c>
      <c r="BA52" s="29">
        <v>0</v>
      </c>
      <c r="BB52" s="29">
        <v>0</v>
      </c>
      <c r="BC52" s="29">
        <v>0</v>
      </c>
      <c r="BD52" s="180">
        <v>0</v>
      </c>
      <c r="BE52" s="29">
        <v>0</v>
      </c>
      <c r="BF52" s="29">
        <v>0</v>
      </c>
      <c r="BG52" s="29">
        <v>0</v>
      </c>
      <c r="BH52" s="29">
        <v>0</v>
      </c>
      <c r="BI52" s="29">
        <v>0</v>
      </c>
      <c r="BJ52" s="29">
        <v>0</v>
      </c>
      <c r="BK52" s="29">
        <v>0</v>
      </c>
      <c r="BL52" s="29">
        <v>0</v>
      </c>
      <c r="BM52" s="29">
        <v>0</v>
      </c>
      <c r="BN52" s="29">
        <v>0</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0</v>
      </c>
      <c r="CU52" s="361">
        <v>0</v>
      </c>
      <c r="CV52" s="189"/>
    </row>
    <row r="53" spans="1:100" ht="63.75" x14ac:dyDescent="0.2">
      <c r="A53" s="4" t="s">
        <v>1017</v>
      </c>
      <c r="B53" s="366" t="s">
        <v>1082</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2"/>
      <c r="BE53" s="191"/>
      <c r="BF53" s="191"/>
      <c r="BG53" s="191"/>
      <c r="BH53" s="191"/>
      <c r="BI53" s="191"/>
      <c r="BJ53" s="191"/>
      <c r="BK53" s="191"/>
      <c r="BL53" s="191"/>
      <c r="BM53" s="191"/>
      <c r="BN53" s="191"/>
      <c r="BO53" s="191"/>
      <c r="BP53" s="191"/>
      <c r="BQ53" s="191"/>
      <c r="BR53" s="191"/>
      <c r="BS53" s="191"/>
      <c r="BT53" s="191"/>
      <c r="BU53" s="191"/>
      <c r="BV53" s="191"/>
      <c r="BW53" s="191"/>
      <c r="BX53" s="191"/>
      <c r="BY53" s="191"/>
      <c r="BZ53" s="191"/>
      <c r="CA53" s="191"/>
      <c r="CB53" s="191"/>
      <c r="CC53" s="191"/>
      <c r="CD53" s="191"/>
      <c r="CE53" s="191"/>
      <c r="CF53" s="191"/>
      <c r="CG53" s="191"/>
      <c r="CH53" s="191"/>
      <c r="CI53" s="191"/>
      <c r="CJ53" s="191"/>
      <c r="CK53" s="191"/>
      <c r="CL53" s="191"/>
      <c r="CM53" s="191"/>
      <c r="CN53" s="191"/>
      <c r="CO53" s="191"/>
      <c r="CP53" s="191"/>
      <c r="CQ53" s="191"/>
      <c r="CR53" s="191"/>
      <c r="CS53" s="191"/>
      <c r="CT53" s="191"/>
      <c r="CU53" s="367"/>
      <c r="CV53" s="189"/>
    </row>
    <row r="54" spans="1:100" ht="63.75" x14ac:dyDescent="0.2">
      <c r="A54" s="4" t="s">
        <v>1052</v>
      </c>
      <c r="B54" s="371" t="s">
        <v>1083</v>
      </c>
      <c r="C54" s="84">
        <f>SUM(D54:DX54)</f>
        <v>799732.76</v>
      </c>
      <c r="D54" s="29">
        <v>22505.24</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6830.04</v>
      </c>
      <c r="AO54" s="29">
        <v>0</v>
      </c>
      <c r="AP54" s="29">
        <v>0</v>
      </c>
      <c r="AQ54" s="29">
        <v>0</v>
      </c>
      <c r="AR54" s="29">
        <v>0</v>
      </c>
      <c r="AS54" s="29">
        <v>770397.48</v>
      </c>
      <c r="AT54" s="29">
        <v>0</v>
      </c>
      <c r="AU54" s="29">
        <v>0</v>
      </c>
      <c r="AV54" s="29">
        <v>0</v>
      </c>
      <c r="AW54" s="29">
        <v>0</v>
      </c>
      <c r="AX54" s="29">
        <v>0</v>
      </c>
      <c r="AY54" s="29">
        <v>0</v>
      </c>
      <c r="AZ54" s="29">
        <v>0</v>
      </c>
      <c r="BA54" s="29">
        <v>0</v>
      </c>
      <c r="BB54" s="29">
        <v>0</v>
      </c>
      <c r="BC54" s="29">
        <v>0</v>
      </c>
      <c r="BD54" s="180">
        <v>0</v>
      </c>
      <c r="BE54" s="29">
        <v>0</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v>
      </c>
      <c r="CU54" s="361">
        <v>0</v>
      </c>
      <c r="CV54" s="189"/>
    </row>
    <row r="55" spans="1:100" ht="63.75" x14ac:dyDescent="0.2">
      <c r="A55" s="4" t="s">
        <v>1053</v>
      </c>
      <c r="B55" s="371" t="s">
        <v>1084</v>
      </c>
      <c r="C55" s="84">
        <f>SUM(D55:DX55)</f>
        <v>331425.59000000003</v>
      </c>
      <c r="D55" s="29">
        <v>22505.24</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v>
      </c>
      <c r="AJ55" s="29">
        <v>0</v>
      </c>
      <c r="AK55" s="29">
        <v>0</v>
      </c>
      <c r="AL55" s="29">
        <v>0</v>
      </c>
      <c r="AM55" s="29">
        <v>0</v>
      </c>
      <c r="AN55" s="29">
        <v>6830.04</v>
      </c>
      <c r="AO55" s="29">
        <v>0</v>
      </c>
      <c r="AP55" s="29">
        <v>0</v>
      </c>
      <c r="AQ55" s="29">
        <v>0</v>
      </c>
      <c r="AR55" s="29">
        <v>302090.31</v>
      </c>
      <c r="AS55" s="29">
        <v>0</v>
      </c>
      <c r="AT55" s="29">
        <v>0</v>
      </c>
      <c r="AU55" s="29">
        <v>0</v>
      </c>
      <c r="AV55" s="29">
        <v>0</v>
      </c>
      <c r="AW55" s="29">
        <v>0</v>
      </c>
      <c r="AX55" s="29">
        <v>0</v>
      </c>
      <c r="AY55" s="29">
        <v>0</v>
      </c>
      <c r="AZ55" s="29">
        <v>0</v>
      </c>
      <c r="BA55" s="29">
        <v>0</v>
      </c>
      <c r="BB55" s="29">
        <v>0</v>
      </c>
      <c r="BC55" s="29">
        <v>0</v>
      </c>
      <c r="BD55" s="180">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v>
      </c>
      <c r="CU55" s="361">
        <v>0</v>
      </c>
      <c r="CV55" s="189"/>
    </row>
    <row r="56" spans="1:100" ht="72.75" customHeight="1" x14ac:dyDescent="0.2">
      <c r="A56" s="4" t="s">
        <v>1017</v>
      </c>
      <c r="B56" s="366" t="s">
        <v>1085</v>
      </c>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2"/>
      <c r="BE56" s="191"/>
      <c r="BF56" s="191"/>
      <c r="BG56" s="191"/>
      <c r="BH56" s="191"/>
      <c r="BI56" s="191"/>
      <c r="BJ56" s="191"/>
      <c r="BK56" s="191"/>
      <c r="BL56" s="191"/>
      <c r="BM56" s="191"/>
      <c r="BN56" s="191"/>
      <c r="BO56" s="191"/>
      <c r="BP56" s="191"/>
      <c r="BQ56" s="191"/>
      <c r="BR56" s="191"/>
      <c r="BS56" s="191"/>
      <c r="BT56" s="191"/>
      <c r="BU56" s="191"/>
      <c r="BV56" s="191"/>
      <c r="BW56" s="191"/>
      <c r="BX56" s="191"/>
      <c r="BY56" s="191"/>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367"/>
      <c r="CV56" s="189"/>
    </row>
    <row r="57" spans="1:100" ht="51" x14ac:dyDescent="0.2">
      <c r="A57" s="4" t="s">
        <v>1054</v>
      </c>
      <c r="B57" s="371" t="s">
        <v>1086</v>
      </c>
      <c r="C57" s="84">
        <f>SUM(D57:DX57)</f>
        <v>1481249.86</v>
      </c>
      <c r="D57" s="29">
        <v>1035922.01</v>
      </c>
      <c r="E57" s="29">
        <v>0</v>
      </c>
      <c r="F57" s="29">
        <v>0</v>
      </c>
      <c r="G57" s="29">
        <v>424219</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0</v>
      </c>
      <c r="AF57" s="29">
        <v>0</v>
      </c>
      <c r="AG57" s="29">
        <v>0</v>
      </c>
      <c r="AH57" s="29">
        <v>0</v>
      </c>
      <c r="AI57" s="29">
        <v>0</v>
      </c>
      <c r="AJ57" s="29">
        <v>0</v>
      </c>
      <c r="AK57" s="29">
        <v>0</v>
      </c>
      <c r="AL57" s="29">
        <v>14278.81</v>
      </c>
      <c r="AM57" s="29">
        <v>0</v>
      </c>
      <c r="AN57" s="29">
        <v>6830.04</v>
      </c>
      <c r="AO57" s="29">
        <v>0</v>
      </c>
      <c r="AP57" s="29">
        <v>0</v>
      </c>
      <c r="AQ57" s="29">
        <v>0</v>
      </c>
      <c r="AR57" s="29">
        <v>0</v>
      </c>
      <c r="AS57" s="29">
        <v>0</v>
      </c>
      <c r="AT57" s="29">
        <v>0</v>
      </c>
      <c r="AU57" s="29">
        <v>0</v>
      </c>
      <c r="AV57" s="29">
        <v>0</v>
      </c>
      <c r="AW57" s="29">
        <v>0</v>
      </c>
      <c r="AX57" s="29">
        <v>0</v>
      </c>
      <c r="AY57" s="29">
        <v>0</v>
      </c>
      <c r="AZ57" s="29">
        <v>0</v>
      </c>
      <c r="BA57" s="29">
        <v>0</v>
      </c>
      <c r="BB57" s="29">
        <v>0</v>
      </c>
      <c r="BC57" s="29">
        <v>0</v>
      </c>
      <c r="BD57" s="180">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0</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361">
        <v>0</v>
      </c>
      <c r="CV57" s="189"/>
    </row>
    <row r="58" spans="1:100" ht="72.75" customHeight="1" x14ac:dyDescent="0.2">
      <c r="A58" s="4" t="s">
        <v>1017</v>
      </c>
      <c r="B58" s="366" t="s">
        <v>1087</v>
      </c>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2"/>
      <c r="BE58" s="191"/>
      <c r="BF58" s="191"/>
      <c r="BG58" s="191"/>
      <c r="BH58" s="191"/>
      <c r="BI58" s="191"/>
      <c r="BJ58" s="191"/>
      <c r="BK58" s="191"/>
      <c r="BL58" s="191"/>
      <c r="BM58" s="191"/>
      <c r="BN58" s="191"/>
      <c r="BO58" s="191"/>
      <c r="BP58" s="191"/>
      <c r="BQ58" s="191"/>
      <c r="BR58" s="191"/>
      <c r="BS58" s="191"/>
      <c r="BT58" s="191"/>
      <c r="BU58" s="191"/>
      <c r="BV58" s="191"/>
      <c r="BW58" s="191"/>
      <c r="BX58" s="191"/>
      <c r="BY58" s="191"/>
      <c r="BZ58" s="191"/>
      <c r="CA58" s="191"/>
      <c r="CB58" s="191"/>
      <c r="CC58" s="191"/>
      <c r="CD58" s="191"/>
      <c r="CE58" s="191"/>
      <c r="CF58" s="191"/>
      <c r="CG58" s="191"/>
      <c r="CH58" s="191"/>
      <c r="CI58" s="191"/>
      <c r="CJ58" s="191"/>
      <c r="CK58" s="191"/>
      <c r="CL58" s="191"/>
      <c r="CM58" s="191"/>
      <c r="CN58" s="191"/>
      <c r="CO58" s="191"/>
      <c r="CP58" s="191"/>
      <c r="CQ58" s="191"/>
      <c r="CR58" s="191"/>
      <c r="CS58" s="191"/>
      <c r="CT58" s="191"/>
      <c r="CU58" s="367"/>
      <c r="CV58" s="189"/>
    </row>
    <row r="59" spans="1:100" ht="47.25" customHeight="1" x14ac:dyDescent="0.2">
      <c r="A59" s="4" t="s">
        <v>1055</v>
      </c>
      <c r="B59" s="371" t="s">
        <v>1088</v>
      </c>
      <c r="C59" s="84">
        <f>SUM(D59:DX59)</f>
        <v>64497.75</v>
      </c>
      <c r="D59" s="29">
        <v>57658.62</v>
      </c>
      <c r="E59" s="29">
        <v>0</v>
      </c>
      <c r="F59" s="29">
        <v>0</v>
      </c>
      <c r="G59" s="29">
        <v>0</v>
      </c>
      <c r="H59" s="29">
        <v>0</v>
      </c>
      <c r="I59" s="29">
        <v>0</v>
      </c>
      <c r="J59" s="29">
        <v>0</v>
      </c>
      <c r="K59" s="29">
        <v>0</v>
      </c>
      <c r="L59" s="29">
        <v>0</v>
      </c>
      <c r="M59" s="29">
        <v>0</v>
      </c>
      <c r="N59" s="29">
        <v>0</v>
      </c>
      <c r="O59" s="29">
        <v>0</v>
      </c>
      <c r="P59" s="29">
        <v>0</v>
      </c>
      <c r="Q59" s="29">
        <v>0</v>
      </c>
      <c r="R59" s="29">
        <v>0</v>
      </c>
      <c r="S59" s="29">
        <v>0</v>
      </c>
      <c r="T59" s="29">
        <v>0</v>
      </c>
      <c r="U59" s="29">
        <v>0</v>
      </c>
      <c r="V59" s="29">
        <v>0</v>
      </c>
      <c r="W59" s="29">
        <v>0</v>
      </c>
      <c r="X59" s="29">
        <v>0</v>
      </c>
      <c r="Y59" s="29">
        <v>0</v>
      </c>
      <c r="Z59" s="29">
        <v>0</v>
      </c>
      <c r="AA59" s="29">
        <v>0</v>
      </c>
      <c r="AB59" s="29">
        <v>0</v>
      </c>
      <c r="AC59" s="29">
        <v>0</v>
      </c>
      <c r="AD59" s="29">
        <v>0</v>
      </c>
      <c r="AE59" s="29">
        <v>0</v>
      </c>
      <c r="AF59" s="29">
        <v>0</v>
      </c>
      <c r="AG59" s="29">
        <v>0</v>
      </c>
      <c r="AH59" s="29">
        <v>0</v>
      </c>
      <c r="AI59" s="29">
        <v>0</v>
      </c>
      <c r="AJ59" s="29">
        <v>0</v>
      </c>
      <c r="AK59" s="29">
        <v>0</v>
      </c>
      <c r="AL59" s="29">
        <v>9.09</v>
      </c>
      <c r="AM59" s="29">
        <v>0</v>
      </c>
      <c r="AN59" s="29">
        <v>6830.04</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180">
        <v>0</v>
      </c>
      <c r="BE59" s="29">
        <v>0</v>
      </c>
      <c r="BF59" s="29">
        <v>0</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361">
        <v>0</v>
      </c>
      <c r="CV59" s="189"/>
    </row>
    <row r="60" spans="1:100" ht="126.75" customHeight="1" x14ac:dyDescent="0.2">
      <c r="A60" s="4" t="s">
        <v>1020</v>
      </c>
      <c r="B60" s="372" t="s">
        <v>1089</v>
      </c>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4"/>
      <c r="BE60" s="193"/>
      <c r="BF60" s="193"/>
      <c r="BG60" s="193"/>
      <c r="BH60" s="193"/>
      <c r="BI60" s="193"/>
      <c r="BJ60" s="193"/>
      <c r="BK60" s="193"/>
      <c r="BL60" s="193"/>
      <c r="BM60" s="193"/>
      <c r="BN60" s="193"/>
      <c r="BO60" s="193"/>
      <c r="BP60" s="193"/>
      <c r="BQ60" s="193"/>
      <c r="BR60" s="193"/>
      <c r="BS60" s="193"/>
      <c r="BT60" s="193"/>
      <c r="BU60" s="193"/>
      <c r="BV60" s="193"/>
      <c r="BW60" s="193"/>
      <c r="BX60" s="193"/>
      <c r="BY60" s="193"/>
      <c r="BZ60" s="193"/>
      <c r="CA60" s="193"/>
      <c r="CB60" s="193"/>
      <c r="CC60" s="193"/>
      <c r="CD60" s="193"/>
      <c r="CE60" s="193"/>
      <c r="CF60" s="193"/>
      <c r="CG60" s="193"/>
      <c r="CH60" s="193"/>
      <c r="CI60" s="193"/>
      <c r="CJ60" s="193"/>
      <c r="CK60" s="193"/>
      <c r="CL60" s="193"/>
      <c r="CM60" s="193"/>
      <c r="CN60" s="193"/>
      <c r="CO60" s="193"/>
      <c r="CP60" s="193"/>
      <c r="CQ60" s="193"/>
      <c r="CR60" s="193"/>
      <c r="CS60" s="193"/>
      <c r="CT60" s="193"/>
      <c r="CU60" s="365"/>
      <c r="CV60" s="189"/>
    </row>
    <row r="61" spans="1:100" ht="38.25" x14ac:dyDescent="0.2">
      <c r="A61" s="4" t="s">
        <v>1020</v>
      </c>
      <c r="B61" s="373" t="s">
        <v>1090</v>
      </c>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2"/>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367"/>
      <c r="CV61" s="189"/>
    </row>
    <row r="62" spans="1:100" ht="38.25" x14ac:dyDescent="0.2">
      <c r="A62" s="341" t="s">
        <v>1056</v>
      </c>
      <c r="B62" s="369" t="s">
        <v>1091</v>
      </c>
      <c r="C62" s="84">
        <f>SUM(D62:DX62)</f>
        <v>3138682</v>
      </c>
      <c r="D62" s="29">
        <v>0</v>
      </c>
      <c r="E62" s="29">
        <v>285072</v>
      </c>
      <c r="F62" s="29">
        <v>0</v>
      </c>
      <c r="G62" s="29">
        <v>2190189</v>
      </c>
      <c r="H62" s="29">
        <v>172681</v>
      </c>
      <c r="I62" s="29">
        <v>0</v>
      </c>
      <c r="J62" s="29">
        <v>0</v>
      </c>
      <c r="K62" s="29">
        <v>0</v>
      </c>
      <c r="L62" s="29">
        <v>0</v>
      </c>
      <c r="M62" s="29">
        <v>0</v>
      </c>
      <c r="N62" s="29">
        <v>270837</v>
      </c>
      <c r="O62" s="29">
        <v>178514</v>
      </c>
      <c r="P62" s="29">
        <v>0</v>
      </c>
      <c r="Q62" s="29">
        <v>41389</v>
      </c>
      <c r="R62" s="29">
        <v>0</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9">
        <v>0</v>
      </c>
      <c r="AZ62" s="29">
        <v>0</v>
      </c>
      <c r="BA62" s="29">
        <v>0</v>
      </c>
      <c r="BB62" s="29">
        <v>0</v>
      </c>
      <c r="BC62" s="29">
        <v>0</v>
      </c>
      <c r="BD62" s="180">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9">
        <v>0</v>
      </c>
      <c r="CS62" s="29">
        <v>0</v>
      </c>
      <c r="CT62" s="29">
        <v>0</v>
      </c>
      <c r="CU62" s="361">
        <v>0</v>
      </c>
      <c r="CV62" s="189"/>
    </row>
    <row r="63" spans="1:100" ht="38.25" x14ac:dyDescent="0.2">
      <c r="A63" s="341" t="s">
        <v>1056</v>
      </c>
      <c r="B63" s="369" t="s">
        <v>1092</v>
      </c>
      <c r="C63" s="84">
        <f>SUM(D63:DX63)</f>
        <v>1652962</v>
      </c>
      <c r="D63" s="29">
        <v>0</v>
      </c>
      <c r="E63" s="29">
        <v>0</v>
      </c>
      <c r="F63" s="29">
        <v>0</v>
      </c>
      <c r="G63" s="29">
        <v>1551830</v>
      </c>
      <c r="H63" s="29">
        <v>0</v>
      </c>
      <c r="I63" s="29">
        <v>0</v>
      </c>
      <c r="J63" s="29">
        <v>0</v>
      </c>
      <c r="K63" s="29">
        <v>0</v>
      </c>
      <c r="L63" s="29">
        <v>0</v>
      </c>
      <c r="M63" s="29">
        <v>0</v>
      </c>
      <c r="N63" s="29">
        <v>60690</v>
      </c>
      <c r="O63" s="29">
        <v>33767</v>
      </c>
      <c r="P63" s="29">
        <v>1675</v>
      </c>
      <c r="Q63" s="29">
        <v>0</v>
      </c>
      <c r="R63" s="29">
        <v>0</v>
      </c>
      <c r="S63" s="29">
        <v>5000</v>
      </c>
      <c r="T63" s="29">
        <v>0</v>
      </c>
      <c r="U63" s="29">
        <v>0</v>
      </c>
      <c r="V63" s="29">
        <v>0</v>
      </c>
      <c r="W63" s="29">
        <v>0</v>
      </c>
      <c r="X63" s="29">
        <v>0</v>
      </c>
      <c r="Y63" s="29">
        <v>0</v>
      </c>
      <c r="Z63" s="29">
        <v>0</v>
      </c>
      <c r="AA63" s="29">
        <v>0</v>
      </c>
      <c r="AB63" s="29">
        <v>0</v>
      </c>
      <c r="AC63" s="29">
        <v>0</v>
      </c>
      <c r="AD63" s="29">
        <v>0</v>
      </c>
      <c r="AE63" s="29">
        <v>0</v>
      </c>
      <c r="AF63" s="29">
        <v>0</v>
      </c>
      <c r="AG63" s="29">
        <v>0</v>
      </c>
      <c r="AH63" s="29">
        <v>0</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v>
      </c>
      <c r="AZ63" s="29">
        <v>0</v>
      </c>
      <c r="BA63" s="29">
        <v>0</v>
      </c>
      <c r="BB63" s="29">
        <v>0</v>
      </c>
      <c r="BC63" s="29">
        <v>0</v>
      </c>
      <c r="BD63" s="180">
        <v>0</v>
      </c>
      <c r="BE63" s="29">
        <v>0</v>
      </c>
      <c r="BF63" s="29">
        <v>0</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0</v>
      </c>
      <c r="CE63" s="29">
        <v>0</v>
      </c>
      <c r="CF63" s="29">
        <v>0</v>
      </c>
      <c r="CG63" s="29">
        <v>0</v>
      </c>
      <c r="CH63" s="29">
        <v>0</v>
      </c>
      <c r="CI63" s="29">
        <v>0</v>
      </c>
      <c r="CJ63" s="29">
        <v>0</v>
      </c>
      <c r="CK63" s="29">
        <v>0</v>
      </c>
      <c r="CL63" s="29">
        <v>0</v>
      </c>
      <c r="CM63" s="29">
        <v>0</v>
      </c>
      <c r="CN63" s="29">
        <v>0</v>
      </c>
      <c r="CO63" s="29">
        <v>0</v>
      </c>
      <c r="CP63" s="29">
        <v>0</v>
      </c>
      <c r="CQ63" s="29">
        <v>0</v>
      </c>
      <c r="CR63" s="29">
        <v>0</v>
      </c>
      <c r="CS63" s="29">
        <v>0</v>
      </c>
      <c r="CT63" s="29">
        <v>0</v>
      </c>
      <c r="CU63" s="361">
        <v>0</v>
      </c>
      <c r="CV63" s="189"/>
    </row>
    <row r="64" spans="1:100" ht="25.5" x14ac:dyDescent="0.2">
      <c r="A64" s="4" t="s">
        <v>1020</v>
      </c>
      <c r="B64" s="373" t="s">
        <v>1093</v>
      </c>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2"/>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367"/>
      <c r="CV64" s="189"/>
    </row>
    <row r="65" spans="1:100" ht="38.25" x14ac:dyDescent="0.2">
      <c r="A65" s="341" t="s">
        <v>1057</v>
      </c>
      <c r="B65" s="369" t="s">
        <v>1094</v>
      </c>
      <c r="C65" s="84">
        <f>SUM(D65:DX65)</f>
        <v>612243</v>
      </c>
      <c r="D65" s="29">
        <v>0</v>
      </c>
      <c r="E65" s="29">
        <v>0</v>
      </c>
      <c r="F65" s="29">
        <v>0</v>
      </c>
      <c r="G65" s="29">
        <v>612243</v>
      </c>
      <c r="H65" s="29">
        <v>0</v>
      </c>
      <c r="I65" s="29">
        <v>0</v>
      </c>
      <c r="J65" s="29">
        <v>0</v>
      </c>
      <c r="K65" s="29">
        <v>0</v>
      </c>
      <c r="L65" s="29">
        <v>0</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0</v>
      </c>
      <c r="AF65" s="29">
        <v>0</v>
      </c>
      <c r="AG65" s="29">
        <v>0</v>
      </c>
      <c r="AH65" s="29">
        <v>0</v>
      </c>
      <c r="AI65" s="29">
        <v>0</v>
      </c>
      <c r="AJ65" s="29">
        <v>0</v>
      </c>
      <c r="AK65" s="29">
        <v>0</v>
      </c>
      <c r="AL65" s="29">
        <v>0</v>
      </c>
      <c r="AM65" s="29">
        <v>0</v>
      </c>
      <c r="AN65" s="29">
        <v>0</v>
      </c>
      <c r="AO65" s="29">
        <v>0</v>
      </c>
      <c r="AP65" s="29">
        <v>0</v>
      </c>
      <c r="AQ65" s="29">
        <v>0</v>
      </c>
      <c r="AR65" s="29">
        <v>0</v>
      </c>
      <c r="AS65" s="29">
        <v>0</v>
      </c>
      <c r="AT65" s="29">
        <v>0</v>
      </c>
      <c r="AU65" s="29">
        <v>0</v>
      </c>
      <c r="AV65" s="29">
        <v>0</v>
      </c>
      <c r="AW65" s="29">
        <v>0</v>
      </c>
      <c r="AX65" s="29">
        <v>0</v>
      </c>
      <c r="AY65" s="29">
        <v>0</v>
      </c>
      <c r="AZ65" s="29">
        <v>0</v>
      </c>
      <c r="BA65" s="29">
        <v>0</v>
      </c>
      <c r="BB65" s="29">
        <v>0</v>
      </c>
      <c r="BC65" s="29">
        <v>0</v>
      </c>
      <c r="BD65" s="180">
        <v>0</v>
      </c>
      <c r="BE65" s="29">
        <v>0</v>
      </c>
      <c r="BF65" s="29">
        <v>0</v>
      </c>
      <c r="BG65" s="29">
        <v>0</v>
      </c>
      <c r="BH65" s="29">
        <v>0</v>
      </c>
      <c r="BI65" s="29">
        <v>0</v>
      </c>
      <c r="BJ65" s="29">
        <v>0</v>
      </c>
      <c r="BK65" s="29">
        <v>0</v>
      </c>
      <c r="BL65" s="29">
        <v>0</v>
      </c>
      <c r="BM65" s="29">
        <v>0</v>
      </c>
      <c r="BN65" s="29">
        <v>0</v>
      </c>
      <c r="BO65" s="29">
        <v>0</v>
      </c>
      <c r="BP65" s="29">
        <v>0</v>
      </c>
      <c r="BQ65" s="29">
        <v>0</v>
      </c>
      <c r="BR65" s="29">
        <v>0</v>
      </c>
      <c r="BS65" s="29">
        <v>0</v>
      </c>
      <c r="BT65" s="29">
        <v>0</v>
      </c>
      <c r="BU65" s="29">
        <v>0</v>
      </c>
      <c r="BV65" s="29">
        <v>0</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361">
        <v>0</v>
      </c>
      <c r="CV65" s="189"/>
    </row>
    <row r="66" spans="1:100" ht="76.5" x14ac:dyDescent="0.2">
      <c r="A66" s="341" t="s">
        <v>1058</v>
      </c>
      <c r="B66" s="369" t="s">
        <v>315</v>
      </c>
      <c r="C66" s="84">
        <f>SUM(D66:DX66)</f>
        <v>199221</v>
      </c>
      <c r="D66" s="29"/>
      <c r="E66" s="29">
        <v>0</v>
      </c>
      <c r="F66" s="29">
        <v>0</v>
      </c>
      <c r="G66" s="29">
        <v>0</v>
      </c>
      <c r="H66" s="29">
        <v>0</v>
      </c>
      <c r="I66" s="29">
        <v>0</v>
      </c>
      <c r="J66" s="29">
        <v>0</v>
      </c>
      <c r="K66" s="29">
        <v>0</v>
      </c>
      <c r="L66" s="29">
        <v>0</v>
      </c>
      <c r="M66" s="29">
        <v>0</v>
      </c>
      <c r="N66" s="29">
        <v>0</v>
      </c>
      <c r="O66" s="29">
        <v>10065</v>
      </c>
      <c r="P66" s="29">
        <v>174106</v>
      </c>
      <c r="Q66" s="29">
        <v>15050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v>
      </c>
      <c r="AJ66" s="29">
        <v>0</v>
      </c>
      <c r="AK66" s="29">
        <v>0</v>
      </c>
      <c r="AL66" s="29">
        <v>0</v>
      </c>
      <c r="AM66" s="29">
        <v>0</v>
      </c>
      <c r="AN66" s="29">
        <v>0</v>
      </c>
      <c r="AO66" s="29">
        <v>0</v>
      </c>
      <c r="AP66" s="29">
        <v>0</v>
      </c>
      <c r="AQ66" s="29">
        <v>0</v>
      </c>
      <c r="AR66" s="29">
        <v>0</v>
      </c>
      <c r="AS66" s="29">
        <v>0</v>
      </c>
      <c r="AT66" s="29">
        <v>0</v>
      </c>
      <c r="AU66" s="29">
        <v>0</v>
      </c>
      <c r="AV66" s="29">
        <v>0</v>
      </c>
      <c r="AW66" s="29">
        <v>0</v>
      </c>
      <c r="AX66" s="29">
        <v>0</v>
      </c>
      <c r="AY66" s="29">
        <v>0</v>
      </c>
      <c r="AZ66" s="29">
        <v>0</v>
      </c>
      <c r="BA66" s="29">
        <v>0</v>
      </c>
      <c r="BB66" s="29">
        <v>0</v>
      </c>
      <c r="BC66" s="29">
        <v>0</v>
      </c>
      <c r="BD66" s="180">
        <v>0</v>
      </c>
      <c r="BE66" s="29">
        <v>0</v>
      </c>
      <c r="BF66" s="29">
        <v>0</v>
      </c>
      <c r="BG66" s="29">
        <v>0</v>
      </c>
      <c r="BH66" s="29">
        <v>0</v>
      </c>
      <c r="BI66" s="29">
        <v>0</v>
      </c>
      <c r="BJ66" s="29">
        <v>0</v>
      </c>
      <c r="BK66" s="29">
        <v>0</v>
      </c>
      <c r="BL66" s="29">
        <v>0</v>
      </c>
      <c r="BM66" s="29">
        <v>0</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0</v>
      </c>
      <c r="CU66" s="361">
        <v>0</v>
      </c>
      <c r="CV66" s="189"/>
    </row>
    <row r="67" spans="1:100" ht="38.25" x14ac:dyDescent="0.2">
      <c r="A67" s="4" t="s">
        <v>1020</v>
      </c>
      <c r="B67" s="373" t="s">
        <v>1095</v>
      </c>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2"/>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367"/>
      <c r="CV67" s="189"/>
    </row>
    <row r="68" spans="1:100" ht="47.25" customHeight="1" x14ac:dyDescent="0.2">
      <c r="A68" s="341" t="s">
        <v>1057</v>
      </c>
      <c r="B68" s="369" t="s">
        <v>1096</v>
      </c>
      <c r="C68" s="84">
        <f>SUM(D68:DX68)</f>
        <v>22104323.43</v>
      </c>
      <c r="D68" s="29">
        <v>14423404</v>
      </c>
      <c r="E68" s="29">
        <v>600013</v>
      </c>
      <c r="F68" s="29">
        <v>0</v>
      </c>
      <c r="G68" s="29">
        <v>711838</v>
      </c>
      <c r="H68" s="29">
        <v>0</v>
      </c>
      <c r="I68" s="29">
        <v>0</v>
      </c>
      <c r="J68" s="29">
        <v>0</v>
      </c>
      <c r="K68" s="29">
        <v>0</v>
      </c>
      <c r="L68" s="29">
        <v>0</v>
      </c>
      <c r="M68" s="29">
        <v>104358.43</v>
      </c>
      <c r="N68" s="29">
        <v>1949813</v>
      </c>
      <c r="O68" s="29">
        <v>357028</v>
      </c>
      <c r="P68" s="29">
        <v>561374</v>
      </c>
      <c r="Q68" s="29">
        <v>2380764</v>
      </c>
      <c r="R68" s="29">
        <v>0</v>
      </c>
      <c r="S68" s="29">
        <v>416688</v>
      </c>
      <c r="T68" s="29">
        <v>298504</v>
      </c>
      <c r="U68" s="29">
        <v>0</v>
      </c>
      <c r="V68" s="29">
        <v>0</v>
      </c>
      <c r="W68" s="29">
        <v>0</v>
      </c>
      <c r="X68" s="29">
        <v>0</v>
      </c>
      <c r="Y68" s="29">
        <v>0</v>
      </c>
      <c r="Z68" s="29">
        <v>0</v>
      </c>
      <c r="AA68" s="29">
        <v>0</v>
      </c>
      <c r="AB68" s="29">
        <v>0</v>
      </c>
      <c r="AC68" s="29">
        <v>0</v>
      </c>
      <c r="AD68" s="29">
        <v>0</v>
      </c>
      <c r="AE68" s="29">
        <v>300539</v>
      </c>
      <c r="AF68" s="29">
        <v>0</v>
      </c>
      <c r="AG68" s="29">
        <v>0</v>
      </c>
      <c r="AH68" s="29">
        <v>0</v>
      </c>
      <c r="AI68" s="29">
        <v>0</v>
      </c>
      <c r="AJ68" s="29">
        <v>0</v>
      </c>
      <c r="AK68" s="29">
        <v>0</v>
      </c>
      <c r="AL68" s="29">
        <v>0</v>
      </c>
      <c r="AM68" s="29">
        <v>0</v>
      </c>
      <c r="AN68" s="29">
        <v>0</v>
      </c>
      <c r="AO68" s="29">
        <v>0</v>
      </c>
      <c r="AP68" s="29">
        <v>0</v>
      </c>
      <c r="AQ68" s="29">
        <v>0</v>
      </c>
      <c r="AR68" s="29">
        <v>0</v>
      </c>
      <c r="AS68" s="29">
        <v>0</v>
      </c>
      <c r="AT68" s="29">
        <v>0</v>
      </c>
      <c r="AU68" s="29">
        <v>0</v>
      </c>
      <c r="AV68" s="29">
        <v>0</v>
      </c>
      <c r="AW68" s="29">
        <v>0</v>
      </c>
      <c r="AX68" s="29">
        <v>0</v>
      </c>
      <c r="AY68" s="29">
        <v>0</v>
      </c>
      <c r="AZ68" s="29">
        <v>0</v>
      </c>
      <c r="BA68" s="29">
        <v>0</v>
      </c>
      <c r="BB68" s="29">
        <v>0</v>
      </c>
      <c r="BC68" s="29">
        <v>0</v>
      </c>
      <c r="BD68" s="180">
        <v>0</v>
      </c>
      <c r="BE68" s="29">
        <v>0</v>
      </c>
      <c r="BF68" s="29">
        <v>0</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361">
        <v>0</v>
      </c>
      <c r="CV68" s="189"/>
    </row>
    <row r="69" spans="1:100" ht="51" x14ac:dyDescent="0.2">
      <c r="A69" s="341" t="s">
        <v>1059</v>
      </c>
      <c r="B69" s="369" t="s">
        <v>1097</v>
      </c>
      <c r="C69" s="84">
        <f>SUM(D69:DX69)</f>
        <v>158897</v>
      </c>
      <c r="D69" s="29">
        <v>62295</v>
      </c>
      <c r="E69" s="29">
        <v>0</v>
      </c>
      <c r="F69" s="29">
        <v>0</v>
      </c>
      <c r="G69" s="29">
        <v>47004</v>
      </c>
      <c r="H69" s="29">
        <v>0</v>
      </c>
      <c r="I69" s="29">
        <v>0</v>
      </c>
      <c r="J69" s="29">
        <v>0</v>
      </c>
      <c r="K69" s="29">
        <v>0</v>
      </c>
      <c r="L69" s="29">
        <v>0</v>
      </c>
      <c r="M69" s="29">
        <v>0</v>
      </c>
      <c r="N69" s="29">
        <v>0</v>
      </c>
      <c r="O69" s="29">
        <v>9303</v>
      </c>
      <c r="P69" s="29">
        <v>13635</v>
      </c>
      <c r="Q69" s="29">
        <v>26556</v>
      </c>
      <c r="R69" s="29">
        <v>0</v>
      </c>
      <c r="S69" s="29">
        <v>104</v>
      </c>
      <c r="T69" s="29">
        <v>0</v>
      </c>
      <c r="U69" s="29">
        <v>0</v>
      </c>
      <c r="V69" s="29">
        <v>0</v>
      </c>
      <c r="W69" s="29">
        <v>0</v>
      </c>
      <c r="X69" s="29">
        <v>0</v>
      </c>
      <c r="Y69" s="29">
        <v>0</v>
      </c>
      <c r="Z69" s="29">
        <v>0</v>
      </c>
      <c r="AA69" s="29">
        <v>0</v>
      </c>
      <c r="AB69" s="29">
        <v>0</v>
      </c>
      <c r="AC69" s="29">
        <v>0</v>
      </c>
      <c r="AD69" s="29">
        <v>0</v>
      </c>
      <c r="AE69" s="29">
        <v>0</v>
      </c>
      <c r="AF69" s="29">
        <v>0</v>
      </c>
      <c r="AG69" s="29">
        <v>0</v>
      </c>
      <c r="AH69" s="29">
        <v>0</v>
      </c>
      <c r="AI69" s="29">
        <v>0</v>
      </c>
      <c r="AJ69" s="29">
        <v>0</v>
      </c>
      <c r="AK69" s="29">
        <v>0</v>
      </c>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180">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361">
        <v>0</v>
      </c>
      <c r="CV69" s="189"/>
    </row>
    <row r="70" spans="1:100" ht="25.5" x14ac:dyDescent="0.2">
      <c r="A70" s="341" t="s">
        <v>1060</v>
      </c>
      <c r="B70" s="369" t="s">
        <v>1098</v>
      </c>
      <c r="C70" s="84">
        <f>SUM(D70:DX70)</f>
        <v>1354219</v>
      </c>
      <c r="D70" s="29">
        <v>0</v>
      </c>
      <c r="E70" s="29">
        <v>449720</v>
      </c>
      <c r="F70" s="29">
        <v>0</v>
      </c>
      <c r="G70" s="29">
        <v>6419</v>
      </c>
      <c r="H70" s="29">
        <v>0</v>
      </c>
      <c r="I70" s="29">
        <v>0</v>
      </c>
      <c r="J70" s="29">
        <v>0</v>
      </c>
      <c r="K70" s="29">
        <v>0</v>
      </c>
      <c r="L70" s="29">
        <v>0</v>
      </c>
      <c r="M70" s="29">
        <v>0</v>
      </c>
      <c r="N70" s="29">
        <v>624910</v>
      </c>
      <c r="O70" s="29">
        <v>87391</v>
      </c>
      <c r="P70" s="29">
        <v>106087</v>
      </c>
      <c r="Q70" s="29">
        <v>0</v>
      </c>
      <c r="R70" s="29">
        <v>47613</v>
      </c>
      <c r="S70" s="29">
        <v>0</v>
      </c>
      <c r="T70" s="29">
        <v>0</v>
      </c>
      <c r="U70" s="29">
        <v>0</v>
      </c>
      <c r="V70" s="29">
        <v>0</v>
      </c>
      <c r="W70" s="29">
        <v>0</v>
      </c>
      <c r="X70" s="29">
        <v>0</v>
      </c>
      <c r="Y70" s="29">
        <v>0</v>
      </c>
      <c r="Z70" s="29">
        <v>32079</v>
      </c>
      <c r="AA70" s="29">
        <v>0</v>
      </c>
      <c r="AB70" s="29">
        <v>0</v>
      </c>
      <c r="AC70" s="29">
        <v>0</v>
      </c>
      <c r="AD70" s="29">
        <v>0</v>
      </c>
      <c r="AE70" s="29">
        <v>0</v>
      </c>
      <c r="AF70" s="29">
        <v>0</v>
      </c>
      <c r="AG70" s="29">
        <v>0</v>
      </c>
      <c r="AH70" s="29">
        <v>0</v>
      </c>
      <c r="AI70" s="29">
        <v>0</v>
      </c>
      <c r="AJ70" s="29">
        <v>0</v>
      </c>
      <c r="AK70" s="29">
        <v>0</v>
      </c>
      <c r="AL70" s="29">
        <v>0</v>
      </c>
      <c r="AM70" s="29">
        <v>0</v>
      </c>
      <c r="AN70" s="29">
        <v>0</v>
      </c>
      <c r="AO70" s="29">
        <v>0</v>
      </c>
      <c r="AP70" s="29">
        <v>0</v>
      </c>
      <c r="AQ70" s="29">
        <v>0</v>
      </c>
      <c r="AR70" s="29">
        <v>0</v>
      </c>
      <c r="AS70" s="29">
        <v>0</v>
      </c>
      <c r="AT70" s="29">
        <v>0</v>
      </c>
      <c r="AU70" s="29">
        <v>0</v>
      </c>
      <c r="AV70" s="29">
        <v>0</v>
      </c>
      <c r="AW70" s="29">
        <v>0</v>
      </c>
      <c r="AX70" s="29">
        <v>0</v>
      </c>
      <c r="AY70" s="29">
        <v>0</v>
      </c>
      <c r="AZ70" s="29">
        <v>0</v>
      </c>
      <c r="BA70" s="29">
        <v>0</v>
      </c>
      <c r="BB70" s="29">
        <v>0</v>
      </c>
      <c r="BC70" s="29">
        <v>0</v>
      </c>
      <c r="BD70" s="180">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0</v>
      </c>
      <c r="CG70" s="29">
        <v>0</v>
      </c>
      <c r="CH70" s="29">
        <v>0</v>
      </c>
      <c r="CI70" s="29">
        <v>0</v>
      </c>
      <c r="CJ70" s="29">
        <v>0</v>
      </c>
      <c r="CK70" s="29">
        <v>0</v>
      </c>
      <c r="CL70" s="29">
        <v>0</v>
      </c>
      <c r="CM70" s="29">
        <v>0</v>
      </c>
      <c r="CN70" s="29">
        <v>0</v>
      </c>
      <c r="CO70" s="29">
        <v>0</v>
      </c>
      <c r="CP70" s="29">
        <v>0</v>
      </c>
      <c r="CQ70" s="29">
        <v>0</v>
      </c>
      <c r="CR70" s="29">
        <v>0</v>
      </c>
      <c r="CS70" s="29">
        <v>0</v>
      </c>
      <c r="CT70" s="29">
        <v>0</v>
      </c>
      <c r="CU70" s="361">
        <v>0</v>
      </c>
      <c r="CV70" s="189"/>
    </row>
    <row r="71" spans="1:100" ht="51" x14ac:dyDescent="0.2">
      <c r="A71" s="4" t="s">
        <v>1021</v>
      </c>
      <c r="B71" s="372" t="s">
        <v>1099</v>
      </c>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4"/>
      <c r="BE71" s="193"/>
      <c r="BF71" s="193"/>
      <c r="BG71" s="193"/>
      <c r="BH71" s="193"/>
      <c r="BI71" s="193"/>
      <c r="BJ71" s="193"/>
      <c r="BK71" s="193"/>
      <c r="BL71" s="193"/>
      <c r="BM71" s="193"/>
      <c r="BN71" s="193"/>
      <c r="BO71" s="193"/>
      <c r="BP71" s="193"/>
      <c r="BQ71" s="193"/>
      <c r="BR71" s="193"/>
      <c r="BS71" s="193"/>
      <c r="BT71" s="193"/>
      <c r="BU71" s="193"/>
      <c r="BV71" s="193"/>
      <c r="BW71" s="193"/>
      <c r="BX71" s="193"/>
      <c r="BY71" s="193"/>
      <c r="BZ71" s="193"/>
      <c r="CA71" s="193"/>
      <c r="CB71" s="193"/>
      <c r="CC71" s="193"/>
      <c r="CD71" s="193"/>
      <c r="CE71" s="193"/>
      <c r="CF71" s="193"/>
      <c r="CG71" s="193"/>
      <c r="CH71" s="193"/>
      <c r="CI71" s="193"/>
      <c r="CJ71" s="193"/>
      <c r="CK71" s="193"/>
      <c r="CL71" s="193"/>
      <c r="CM71" s="193"/>
      <c r="CN71" s="193"/>
      <c r="CO71" s="193"/>
      <c r="CP71" s="193"/>
      <c r="CQ71" s="193"/>
      <c r="CR71" s="193"/>
      <c r="CS71" s="193"/>
      <c r="CT71" s="193"/>
      <c r="CU71" s="365"/>
      <c r="CV71" s="189"/>
    </row>
    <row r="72" spans="1:100" ht="38.25" x14ac:dyDescent="0.2">
      <c r="A72" s="4" t="s">
        <v>1021</v>
      </c>
      <c r="B72" s="366" t="s">
        <v>1100</v>
      </c>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2"/>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367"/>
      <c r="CV72" s="189"/>
    </row>
    <row r="73" spans="1:100" ht="38.25" x14ac:dyDescent="0.2">
      <c r="A73" s="4" t="s">
        <v>1021</v>
      </c>
      <c r="B73" s="371" t="s">
        <v>1101</v>
      </c>
      <c r="C73" s="84">
        <f>SUM(D73:DX73)</f>
        <v>2529547.33</v>
      </c>
      <c r="D73" s="29">
        <f>156523.99+66245.86+273.9</f>
        <v>223043.74999999997</v>
      </c>
      <c r="E73" s="29">
        <v>0</v>
      </c>
      <c r="F73" s="29">
        <v>0</v>
      </c>
      <c r="G73" s="29">
        <f>825618.63+315527+660772.56</f>
        <v>1801918.19</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0</v>
      </c>
      <c r="AM73" s="29">
        <v>0</v>
      </c>
      <c r="AN73" s="29">
        <v>0</v>
      </c>
      <c r="AO73" s="29">
        <v>0</v>
      </c>
      <c r="AP73" s="29">
        <v>0</v>
      </c>
      <c r="AQ73" s="29">
        <v>0</v>
      </c>
      <c r="AR73" s="29">
        <v>0</v>
      </c>
      <c r="AS73" s="29">
        <v>0</v>
      </c>
      <c r="AT73" s="29">
        <v>0</v>
      </c>
      <c r="AU73" s="29">
        <v>0</v>
      </c>
      <c r="AV73" s="29">
        <v>0</v>
      </c>
      <c r="AW73" s="29">
        <f>60457.57+23244.85+31755.54</f>
        <v>115457.95999999999</v>
      </c>
      <c r="AX73" s="29">
        <v>0</v>
      </c>
      <c r="AY73" s="29">
        <v>0</v>
      </c>
      <c r="AZ73" s="29">
        <f>117385.23+43514.33+150733.23</f>
        <v>311632.79000000004</v>
      </c>
      <c r="BA73" s="29">
        <f>7561.07+2999.42+0</f>
        <v>10560.49</v>
      </c>
      <c r="BB73" s="29">
        <f>36633.34+13218.65+17082.16</f>
        <v>66934.149999999994</v>
      </c>
      <c r="BC73" s="29">
        <v>0</v>
      </c>
      <c r="BD73" s="180">
        <v>0</v>
      </c>
      <c r="BE73" s="29">
        <v>0</v>
      </c>
      <c r="BF73" s="29">
        <v>0</v>
      </c>
      <c r="BG73" s="29">
        <v>0</v>
      </c>
      <c r="BH73" s="29">
        <v>0</v>
      </c>
      <c r="BI73" s="29">
        <v>0</v>
      </c>
      <c r="BJ73" s="29">
        <v>0</v>
      </c>
      <c r="BK73" s="29">
        <v>0</v>
      </c>
      <c r="BL73" s="29">
        <v>0</v>
      </c>
      <c r="BM73" s="29">
        <v>0</v>
      </c>
      <c r="BN73" s="29">
        <v>0</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v>
      </c>
      <c r="CI73" s="29">
        <v>0</v>
      </c>
      <c r="CJ73" s="29">
        <v>0</v>
      </c>
      <c r="CK73" s="29">
        <v>0</v>
      </c>
      <c r="CL73" s="29">
        <v>0</v>
      </c>
      <c r="CM73" s="29">
        <v>0</v>
      </c>
      <c r="CN73" s="29">
        <v>0</v>
      </c>
      <c r="CO73" s="29">
        <v>0</v>
      </c>
      <c r="CP73" s="29">
        <v>0</v>
      </c>
      <c r="CQ73" s="29">
        <v>0</v>
      </c>
      <c r="CR73" s="29">
        <v>0</v>
      </c>
      <c r="CS73" s="29">
        <v>0</v>
      </c>
      <c r="CT73" s="29">
        <v>0</v>
      </c>
      <c r="CU73" s="361">
        <v>0</v>
      </c>
      <c r="CV73" s="189"/>
    </row>
    <row r="74" spans="1:100" ht="38.25" x14ac:dyDescent="0.2">
      <c r="A74" s="4" t="s">
        <v>1021</v>
      </c>
      <c r="B74" s="371" t="s">
        <v>1102</v>
      </c>
      <c r="C74" s="84">
        <f>SUM(D74:DX74)</f>
        <v>3243975.51</v>
      </c>
      <c r="D74" s="29">
        <f>208749.16+88349.19+132.8</f>
        <v>297231.14999999997</v>
      </c>
      <c r="E74" s="29">
        <v>0</v>
      </c>
      <c r="F74" s="29">
        <v>0</v>
      </c>
      <c r="G74" s="29">
        <f>999259.77+381887.5+799743.87</f>
        <v>2180891.14</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0</v>
      </c>
      <c r="AQ74" s="29">
        <v>0</v>
      </c>
      <c r="AR74" s="29">
        <v>0</v>
      </c>
      <c r="AS74" s="29">
        <v>0</v>
      </c>
      <c r="AT74" s="29">
        <v>0</v>
      </c>
      <c r="AU74" s="29">
        <v>0</v>
      </c>
      <c r="AV74" s="29">
        <v>0</v>
      </c>
      <c r="AW74" s="29">
        <f>57109.94+21957.75+30146.13</f>
        <v>109213.82</v>
      </c>
      <c r="AX74" s="29">
        <f>21462.1+6014.4+9884.08</f>
        <v>37360.58</v>
      </c>
      <c r="AY74" s="29">
        <v>0</v>
      </c>
      <c r="AZ74" s="29">
        <f>139406.21+51677.44+179010.15</f>
        <v>370093.8</v>
      </c>
      <c r="BA74" s="29">
        <f>35873.63+14230.82+0</f>
        <v>50104.45</v>
      </c>
      <c r="BB74" s="29">
        <f>82732.18+29852.8+38578.09</f>
        <v>151163.07</v>
      </c>
      <c r="BC74" s="29">
        <v>0</v>
      </c>
      <c r="BD74" s="180">
        <v>0</v>
      </c>
      <c r="BE74" s="29">
        <v>0</v>
      </c>
      <c r="BF74" s="29">
        <v>0</v>
      </c>
      <c r="BG74" s="29">
        <v>0</v>
      </c>
      <c r="BH74" s="29">
        <v>0</v>
      </c>
      <c r="BI74" s="29">
        <v>0</v>
      </c>
      <c r="BJ74" s="29">
        <v>0</v>
      </c>
      <c r="BK74" s="29">
        <v>0</v>
      </c>
      <c r="BL74" s="29">
        <v>47917.5</v>
      </c>
      <c r="BM74" s="29">
        <v>0</v>
      </c>
      <c r="BN74" s="29">
        <v>0</v>
      </c>
      <c r="BO74" s="29">
        <v>0</v>
      </c>
      <c r="BP74" s="29">
        <v>0</v>
      </c>
      <c r="BQ74" s="29">
        <v>0</v>
      </c>
      <c r="BR74" s="29">
        <v>0</v>
      </c>
      <c r="BS74" s="29">
        <v>0</v>
      </c>
      <c r="BT74" s="29">
        <v>0</v>
      </c>
      <c r="BU74" s="29">
        <v>0</v>
      </c>
      <c r="BV74" s="29">
        <v>0</v>
      </c>
      <c r="BW74" s="29">
        <v>0</v>
      </c>
      <c r="BX74" s="29">
        <v>0</v>
      </c>
      <c r="BY74" s="29">
        <v>0</v>
      </c>
      <c r="BZ74" s="29">
        <v>0</v>
      </c>
      <c r="CA74" s="29">
        <v>0</v>
      </c>
      <c r="CB74" s="29">
        <v>0</v>
      </c>
      <c r="CC74" s="29">
        <v>0</v>
      </c>
      <c r="CD74" s="29">
        <v>0</v>
      </c>
      <c r="CE74" s="29">
        <v>0</v>
      </c>
      <c r="CF74" s="29">
        <v>0</v>
      </c>
      <c r="CG74" s="29">
        <v>0</v>
      </c>
      <c r="CH74" s="29">
        <v>0</v>
      </c>
      <c r="CI74" s="29">
        <v>0</v>
      </c>
      <c r="CJ74" s="29">
        <v>0</v>
      </c>
      <c r="CK74" s="29">
        <v>0</v>
      </c>
      <c r="CL74" s="29">
        <v>0</v>
      </c>
      <c r="CM74" s="29">
        <v>0</v>
      </c>
      <c r="CN74" s="29">
        <v>0</v>
      </c>
      <c r="CO74" s="29">
        <v>0</v>
      </c>
      <c r="CP74" s="29">
        <v>0</v>
      </c>
      <c r="CQ74" s="29">
        <v>0</v>
      </c>
      <c r="CR74" s="29">
        <v>0</v>
      </c>
      <c r="CS74" s="29">
        <v>0</v>
      </c>
      <c r="CT74" s="29">
        <v>0</v>
      </c>
      <c r="CU74" s="361">
        <v>0</v>
      </c>
      <c r="CV74" s="189"/>
    </row>
    <row r="75" spans="1:100" ht="38.25" x14ac:dyDescent="0.2">
      <c r="A75" s="4" t="s">
        <v>1021</v>
      </c>
      <c r="B75" s="371" t="s">
        <v>1103</v>
      </c>
      <c r="C75" s="84">
        <f>SUM(D75:DX75)</f>
        <v>74850.239999999991</v>
      </c>
      <c r="D75" s="29">
        <f>23937.69+10131.18+0</f>
        <v>34068.869999999995</v>
      </c>
      <c r="E75" s="29">
        <v>0</v>
      </c>
      <c r="F75" s="29">
        <v>0</v>
      </c>
      <c r="G75" s="29">
        <f>1850.45+707.19+1480.98</f>
        <v>4038.6200000000003</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0</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f>4004.08+1539.5+2208.38</f>
        <v>7751.96</v>
      </c>
      <c r="AX75" s="29">
        <v>0</v>
      </c>
      <c r="AY75" s="29">
        <v>0</v>
      </c>
      <c r="AZ75" s="29">
        <f>0+0+0</f>
        <v>0</v>
      </c>
      <c r="BA75" s="29">
        <f>3780.54+1499.71+0</f>
        <v>5280.25</v>
      </c>
      <c r="BB75" s="29">
        <f>12976.88+4682.53+6051.13</f>
        <v>23710.54</v>
      </c>
      <c r="BC75" s="29">
        <v>0</v>
      </c>
      <c r="BD75" s="180">
        <v>0</v>
      </c>
      <c r="BE75" s="29">
        <v>0</v>
      </c>
      <c r="BF75" s="29">
        <v>0</v>
      </c>
      <c r="BG75" s="29">
        <v>0</v>
      </c>
      <c r="BH75" s="29">
        <v>0</v>
      </c>
      <c r="BI75" s="29">
        <v>0</v>
      </c>
      <c r="BJ75" s="29">
        <v>0</v>
      </c>
      <c r="BK75" s="29">
        <v>0</v>
      </c>
      <c r="BL75" s="29">
        <v>0</v>
      </c>
      <c r="BM75" s="29">
        <v>0</v>
      </c>
      <c r="BN75" s="29">
        <v>0</v>
      </c>
      <c r="BO75" s="29">
        <v>0</v>
      </c>
      <c r="BP75" s="29">
        <v>0</v>
      </c>
      <c r="BQ75" s="29">
        <v>0</v>
      </c>
      <c r="BR75" s="29">
        <v>0</v>
      </c>
      <c r="BS75" s="29">
        <v>0</v>
      </c>
      <c r="BT75" s="29">
        <v>0</v>
      </c>
      <c r="BU75" s="29">
        <v>0</v>
      </c>
      <c r="BV75" s="29">
        <v>0</v>
      </c>
      <c r="BW75" s="29">
        <v>0</v>
      </c>
      <c r="BX75" s="29">
        <v>0</v>
      </c>
      <c r="BY75" s="29">
        <v>0</v>
      </c>
      <c r="BZ75" s="29">
        <v>0</v>
      </c>
      <c r="CA75" s="29">
        <v>0</v>
      </c>
      <c r="CB75" s="29">
        <v>0</v>
      </c>
      <c r="CC75" s="29">
        <v>0</v>
      </c>
      <c r="CD75" s="29">
        <v>0</v>
      </c>
      <c r="CE75" s="29">
        <v>0</v>
      </c>
      <c r="CF75" s="29">
        <v>0</v>
      </c>
      <c r="CG75" s="29">
        <v>0</v>
      </c>
      <c r="CH75" s="29">
        <v>0</v>
      </c>
      <c r="CI75" s="29">
        <v>0</v>
      </c>
      <c r="CJ75" s="29">
        <v>0</v>
      </c>
      <c r="CK75" s="29">
        <v>0</v>
      </c>
      <c r="CL75" s="29">
        <v>0</v>
      </c>
      <c r="CM75" s="29">
        <v>0</v>
      </c>
      <c r="CN75" s="29">
        <v>0</v>
      </c>
      <c r="CO75" s="29">
        <v>0</v>
      </c>
      <c r="CP75" s="29">
        <v>0</v>
      </c>
      <c r="CQ75" s="29">
        <v>0</v>
      </c>
      <c r="CR75" s="29">
        <v>0</v>
      </c>
      <c r="CS75" s="29">
        <v>0</v>
      </c>
      <c r="CT75" s="29">
        <v>0</v>
      </c>
      <c r="CU75" s="361">
        <v>0</v>
      </c>
      <c r="CV75" s="189"/>
    </row>
    <row r="76" spans="1:100" ht="38.25" x14ac:dyDescent="0.2">
      <c r="A76" s="4" t="s">
        <v>1021</v>
      </c>
      <c r="B76" s="371" t="s">
        <v>1104</v>
      </c>
      <c r="C76" s="84">
        <f>SUM(D76:DX76)</f>
        <v>1031306.69</v>
      </c>
      <c r="D76" s="29">
        <f>69676.11+29489.12+36386.8</f>
        <v>135552.03</v>
      </c>
      <c r="E76" s="29">
        <v>0</v>
      </c>
      <c r="F76" s="29">
        <v>0</v>
      </c>
      <c r="G76" s="29">
        <f>264939.05+101251.86+212040.34</f>
        <v>578231.25</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29">
        <v>0</v>
      </c>
      <c r="AF76" s="29">
        <v>0</v>
      </c>
      <c r="AG76" s="29">
        <v>0</v>
      </c>
      <c r="AH76" s="29">
        <v>0</v>
      </c>
      <c r="AI76" s="29">
        <v>0</v>
      </c>
      <c r="AJ76" s="29">
        <v>0</v>
      </c>
      <c r="AK76" s="29">
        <v>0</v>
      </c>
      <c r="AL76" s="29">
        <v>0</v>
      </c>
      <c r="AM76" s="29">
        <v>0</v>
      </c>
      <c r="AN76" s="29">
        <v>0</v>
      </c>
      <c r="AO76" s="29">
        <v>0</v>
      </c>
      <c r="AP76" s="29">
        <v>0</v>
      </c>
      <c r="AQ76" s="29">
        <v>0</v>
      </c>
      <c r="AR76" s="29">
        <v>0</v>
      </c>
      <c r="AS76" s="29">
        <v>0</v>
      </c>
      <c r="AT76" s="29">
        <v>0</v>
      </c>
      <c r="AU76" s="29">
        <v>0</v>
      </c>
      <c r="AV76" s="29">
        <v>0</v>
      </c>
      <c r="AW76" s="29">
        <f>101005.66+38834.87+52880.15</f>
        <v>192720.68</v>
      </c>
      <c r="AX76" s="29">
        <v>0</v>
      </c>
      <c r="AY76" s="29">
        <v>0</v>
      </c>
      <c r="AZ76" s="29">
        <f>10375.96+3846.33+13323.66</f>
        <v>27545.949999999997</v>
      </c>
      <c r="BA76" s="29">
        <f>0+0+0</f>
        <v>0</v>
      </c>
      <c r="BB76" s="29">
        <f>53229.04+19206.99+24820.75</f>
        <v>97256.78</v>
      </c>
      <c r="BC76" s="29">
        <v>0</v>
      </c>
      <c r="BD76" s="180">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0</v>
      </c>
      <c r="CU76" s="361">
        <v>0</v>
      </c>
      <c r="CV76" s="189"/>
    </row>
    <row r="77" spans="1:100" ht="38.25" x14ac:dyDescent="0.2">
      <c r="A77" s="4" t="s">
        <v>1021</v>
      </c>
      <c r="B77" s="366" t="s">
        <v>1105</v>
      </c>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1"/>
      <c r="BB77" s="191"/>
      <c r="BC77" s="191"/>
      <c r="BD77" s="192"/>
      <c r="BE77" s="191"/>
      <c r="BF77" s="191"/>
      <c r="BG77" s="191"/>
      <c r="BH77" s="191"/>
      <c r="BI77" s="191"/>
      <c r="BJ77" s="191"/>
      <c r="BK77" s="191"/>
      <c r="BL77" s="191"/>
      <c r="BM77" s="191"/>
      <c r="BN77" s="191"/>
      <c r="BO77" s="191"/>
      <c r="BP77" s="191"/>
      <c r="BQ77" s="191"/>
      <c r="BR77" s="191"/>
      <c r="BS77" s="191"/>
      <c r="BT77" s="191"/>
      <c r="BU77" s="191"/>
      <c r="BV77" s="191"/>
      <c r="BW77" s="191"/>
      <c r="BX77" s="191"/>
      <c r="BY77" s="191"/>
      <c r="BZ77" s="191"/>
      <c r="CA77" s="191"/>
      <c r="CB77" s="191"/>
      <c r="CC77" s="191"/>
      <c r="CD77" s="191"/>
      <c r="CE77" s="191"/>
      <c r="CF77" s="191"/>
      <c r="CG77" s="191"/>
      <c r="CH77" s="191"/>
      <c r="CI77" s="191"/>
      <c r="CJ77" s="191"/>
      <c r="CK77" s="191"/>
      <c r="CL77" s="191"/>
      <c r="CM77" s="191"/>
      <c r="CN77" s="191"/>
      <c r="CO77" s="191"/>
      <c r="CP77" s="191"/>
      <c r="CQ77" s="191"/>
      <c r="CR77" s="191"/>
      <c r="CS77" s="191"/>
      <c r="CT77" s="191"/>
      <c r="CU77" s="367"/>
      <c r="CV77" s="189"/>
    </row>
    <row r="78" spans="1:100" ht="38.25" x14ac:dyDescent="0.2">
      <c r="A78" s="4" t="s">
        <v>1021</v>
      </c>
      <c r="B78" s="371" t="s">
        <v>1106</v>
      </c>
      <c r="C78" s="84">
        <f>SUM(D78:DX78)</f>
        <v>516138.8</v>
      </c>
      <c r="D78" s="29">
        <f>112608.48+47659.44+0</f>
        <v>160267.91999999998</v>
      </c>
      <c r="E78" s="29">
        <v>0</v>
      </c>
      <c r="F78" s="29">
        <v>0</v>
      </c>
      <c r="G78" s="29">
        <f>45352.32+17332.32+36297.11</f>
        <v>98981.75</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42</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f>10743.79+4130.79+5971.41</f>
        <v>20845.990000000002</v>
      </c>
      <c r="AX78" s="29">
        <v>0</v>
      </c>
      <c r="AY78" s="29">
        <v>0</v>
      </c>
      <c r="AZ78" s="29">
        <f>652.3+241.8+837.61</f>
        <v>1731.71</v>
      </c>
      <c r="BA78" s="29">
        <f>124382.1+49341.52+37978.01</f>
        <v>211701.63</v>
      </c>
      <c r="BB78" s="29">
        <f>12351.45+4456.86+5759.49</f>
        <v>22567.800000000003</v>
      </c>
      <c r="BC78" s="29">
        <v>0</v>
      </c>
      <c r="BD78" s="180">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361">
        <v>0</v>
      </c>
      <c r="CV78" s="189"/>
    </row>
    <row r="79" spans="1:100" ht="38.25" x14ac:dyDescent="0.2">
      <c r="A79" s="4" t="s">
        <v>1021</v>
      </c>
      <c r="B79" s="371" t="s">
        <v>1107</v>
      </c>
      <c r="C79" s="84">
        <f>SUM(D79:DX79)</f>
        <v>1202603.7300000002</v>
      </c>
      <c r="D79" s="29">
        <f>76838.37+32520.41+0</f>
        <v>109358.78</v>
      </c>
      <c r="E79" s="29">
        <v>0</v>
      </c>
      <c r="F79" s="29">
        <v>0</v>
      </c>
      <c r="G79" s="29">
        <f>277978.89+106235.3+222476.6</f>
        <v>606690.79</v>
      </c>
      <c r="H79" s="29">
        <v>0</v>
      </c>
      <c r="I79" s="29">
        <v>0</v>
      </c>
      <c r="J79" s="29">
        <v>0</v>
      </c>
      <c r="K79" s="29">
        <v>0</v>
      </c>
      <c r="L79" s="29">
        <v>0</v>
      </c>
      <c r="M79" s="29">
        <v>0</v>
      </c>
      <c r="N79" s="29">
        <v>0</v>
      </c>
      <c r="O79" s="29">
        <v>0</v>
      </c>
      <c r="P79" s="29">
        <v>0</v>
      </c>
      <c r="Q79" s="29">
        <v>0</v>
      </c>
      <c r="R79" s="29">
        <v>0</v>
      </c>
      <c r="S79" s="29">
        <v>0</v>
      </c>
      <c r="T79" s="29">
        <v>0</v>
      </c>
      <c r="U79" s="29">
        <v>0</v>
      </c>
      <c r="V79" s="29">
        <v>0</v>
      </c>
      <c r="W79" s="29">
        <v>0</v>
      </c>
      <c r="X79" s="29">
        <v>0</v>
      </c>
      <c r="Y79" s="29">
        <v>0</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f>118485.02+45555.37+62184.83</f>
        <v>226225.22000000003</v>
      </c>
      <c r="AX79" s="29">
        <v>0</v>
      </c>
      <c r="AY79" s="29">
        <v>0</v>
      </c>
      <c r="AZ79" s="29">
        <f>91589.55+33951.96+117609.25</f>
        <v>243150.76</v>
      </c>
      <c r="BA79" s="29">
        <f>4704.94+1866.42+0</f>
        <v>6571.36</v>
      </c>
      <c r="BB79" s="29">
        <f>5805.16+2094.71+2706.95</f>
        <v>10606.82</v>
      </c>
      <c r="BC79" s="29">
        <v>0</v>
      </c>
      <c r="BD79" s="180">
        <v>0</v>
      </c>
      <c r="BE79" s="29">
        <v>0</v>
      </c>
      <c r="BF79" s="29">
        <v>0</v>
      </c>
      <c r="BG79" s="29">
        <v>0</v>
      </c>
      <c r="BH79" s="29">
        <v>0</v>
      </c>
      <c r="BI79" s="29">
        <v>0</v>
      </c>
      <c r="BJ79" s="29">
        <v>0</v>
      </c>
      <c r="BK79" s="29">
        <v>0</v>
      </c>
      <c r="BL79" s="29">
        <v>0</v>
      </c>
      <c r="BM79" s="29">
        <v>0</v>
      </c>
      <c r="BN79" s="29">
        <v>0</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361">
        <v>0</v>
      </c>
      <c r="CV79" s="189"/>
    </row>
    <row r="80" spans="1:100" ht="43.5" customHeight="1" x14ac:dyDescent="0.2">
      <c r="A80" s="4" t="s">
        <v>1021</v>
      </c>
      <c r="B80" s="371" t="s">
        <v>1108</v>
      </c>
      <c r="C80" s="84">
        <f>SUM(D80:DX80)</f>
        <v>520509.76000000007</v>
      </c>
      <c r="D80" s="29">
        <f>77044.49+32607.64+24.9</f>
        <v>109677.03</v>
      </c>
      <c r="E80" s="29">
        <v>0</v>
      </c>
      <c r="F80" s="29">
        <v>0</v>
      </c>
      <c r="G80" s="29">
        <f>165604.31+63289.06+132539.14</f>
        <v>361432.51</v>
      </c>
      <c r="H80" s="29">
        <v>0</v>
      </c>
      <c r="I80" s="29">
        <v>0</v>
      </c>
      <c r="J80" s="29">
        <v>0</v>
      </c>
      <c r="K80" s="29">
        <v>0</v>
      </c>
      <c r="L80" s="29">
        <v>0</v>
      </c>
      <c r="M80" s="29">
        <v>0</v>
      </c>
      <c r="N80" s="29">
        <v>0</v>
      </c>
      <c r="O80" s="29">
        <v>0</v>
      </c>
      <c r="P80" s="29">
        <v>0</v>
      </c>
      <c r="Q80" s="29">
        <v>0</v>
      </c>
      <c r="R80" s="29">
        <v>0</v>
      </c>
      <c r="S80" s="29">
        <v>0</v>
      </c>
      <c r="T80" s="29">
        <v>0</v>
      </c>
      <c r="U80" s="29">
        <v>0</v>
      </c>
      <c r="V80" s="29">
        <v>0</v>
      </c>
      <c r="W80" s="29">
        <v>0</v>
      </c>
      <c r="X80" s="29">
        <v>0</v>
      </c>
      <c r="Y80" s="29">
        <v>0</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f>12044.25+4630.8+6446.75</f>
        <v>23121.8</v>
      </c>
      <c r="AX80" s="29">
        <v>0</v>
      </c>
      <c r="AY80" s="29">
        <v>0</v>
      </c>
      <c r="AZ80" s="29">
        <f>8878.34+3291.17+11400.58</f>
        <v>23570.09</v>
      </c>
      <c r="BA80" s="29">
        <f>0+0+0</f>
        <v>0</v>
      </c>
      <c r="BB80" s="29">
        <f>1482.28+534.86+691.19</f>
        <v>2708.33</v>
      </c>
      <c r="BC80" s="29">
        <v>0</v>
      </c>
      <c r="BD80" s="180">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361">
        <v>0</v>
      </c>
      <c r="CV80" s="189"/>
    </row>
    <row r="81" spans="1:100" ht="38.25" x14ac:dyDescent="0.2">
      <c r="A81" s="4" t="s">
        <v>1021</v>
      </c>
      <c r="B81" s="366" t="s">
        <v>1109</v>
      </c>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1"/>
      <c r="AO81" s="191"/>
      <c r="AP81" s="191"/>
      <c r="AQ81" s="191"/>
      <c r="AR81" s="191"/>
      <c r="AS81" s="191"/>
      <c r="AT81" s="191"/>
      <c r="AU81" s="191"/>
      <c r="AV81" s="191"/>
      <c r="AW81" s="191"/>
      <c r="AX81" s="191"/>
      <c r="AY81" s="191"/>
      <c r="AZ81" s="191"/>
      <c r="BA81" s="191"/>
      <c r="BB81" s="191"/>
      <c r="BC81" s="191"/>
      <c r="BD81" s="192"/>
      <c r="BE81" s="191"/>
      <c r="BF81" s="191"/>
      <c r="BG81" s="191"/>
      <c r="BH81" s="191"/>
      <c r="BI81" s="191"/>
      <c r="BJ81" s="191"/>
      <c r="BK81" s="191"/>
      <c r="BL81" s="191"/>
      <c r="BM81" s="191"/>
      <c r="BN81" s="191"/>
      <c r="BO81" s="191"/>
      <c r="BP81" s="191"/>
      <c r="BQ81" s="191"/>
      <c r="BR81" s="191"/>
      <c r="BS81" s="191"/>
      <c r="BT81" s="191"/>
      <c r="BU81" s="191"/>
      <c r="BV81" s="191"/>
      <c r="BW81" s="191"/>
      <c r="BX81" s="191"/>
      <c r="BY81" s="191"/>
      <c r="BZ81" s="191"/>
      <c r="CA81" s="191"/>
      <c r="CB81" s="191"/>
      <c r="CC81" s="191"/>
      <c r="CD81" s="191"/>
      <c r="CE81" s="191"/>
      <c r="CF81" s="191"/>
      <c r="CG81" s="191"/>
      <c r="CH81" s="191"/>
      <c r="CI81" s="191"/>
      <c r="CJ81" s="191"/>
      <c r="CK81" s="191"/>
      <c r="CL81" s="191"/>
      <c r="CM81" s="191"/>
      <c r="CN81" s="191"/>
      <c r="CO81" s="191"/>
      <c r="CP81" s="191"/>
      <c r="CQ81" s="191"/>
      <c r="CR81" s="191"/>
      <c r="CS81" s="191"/>
      <c r="CT81" s="191"/>
      <c r="CU81" s="367"/>
      <c r="CV81" s="189"/>
    </row>
    <row r="82" spans="1:100" ht="38.25" x14ac:dyDescent="0.2">
      <c r="A82" s="4" t="s">
        <v>1021</v>
      </c>
      <c r="B82" s="371" t="s">
        <v>1110</v>
      </c>
      <c r="C82" s="84">
        <f>SUM(D82:DX82)</f>
        <v>2123996.0099999998</v>
      </c>
      <c r="D82" s="29">
        <f>237700.74+100602.41+100531.48</f>
        <v>438834.63</v>
      </c>
      <c r="E82" s="29">
        <v>0</v>
      </c>
      <c r="F82" s="29">
        <v>0</v>
      </c>
      <c r="G82" s="29">
        <f>217137.63+82983.57+173783.13</f>
        <v>473904.33</v>
      </c>
      <c r="H82" s="29">
        <v>164380.73000000001</v>
      </c>
      <c r="I82" s="29">
        <v>682158.4</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f>43650.32+16782.77+25110.53</f>
        <v>85543.62</v>
      </c>
      <c r="AX82" s="29">
        <v>0</v>
      </c>
      <c r="AY82" s="29">
        <v>0</v>
      </c>
      <c r="AZ82" s="29">
        <f>93902.19+34809.24+145028.84</f>
        <v>273740.27</v>
      </c>
      <c r="BA82" s="29">
        <f>0+0+0</f>
        <v>0</v>
      </c>
      <c r="BB82" s="29">
        <f>2974.07+1073.15+1386.81</f>
        <v>5434.0300000000007</v>
      </c>
      <c r="BC82" s="29">
        <v>0</v>
      </c>
      <c r="BD82" s="180">
        <v>0</v>
      </c>
      <c r="BE82" s="29">
        <v>0</v>
      </c>
      <c r="BF82" s="29">
        <v>0</v>
      </c>
      <c r="BG82" s="29">
        <v>0</v>
      </c>
      <c r="BH82" s="29">
        <v>0</v>
      </c>
      <c r="BI82" s="29">
        <v>0</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0</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0</v>
      </c>
      <c r="CR82" s="29">
        <v>0</v>
      </c>
      <c r="CS82" s="29">
        <v>0</v>
      </c>
      <c r="CT82" s="29">
        <v>0</v>
      </c>
      <c r="CU82" s="361">
        <v>0</v>
      </c>
      <c r="CV82" s="189"/>
    </row>
    <row r="83" spans="1:100" ht="38.25" x14ac:dyDescent="0.2">
      <c r="A83" s="4" t="s">
        <v>1021</v>
      </c>
      <c r="B83" s="371" t="s">
        <v>1111</v>
      </c>
      <c r="C83" s="84">
        <f>SUM(D83:DX83)</f>
        <v>474700.48</v>
      </c>
      <c r="D83" s="29">
        <f>16954.09+7175.5+0</f>
        <v>24129.59</v>
      </c>
      <c r="E83" s="29">
        <v>0</v>
      </c>
      <c r="F83" s="29">
        <v>0</v>
      </c>
      <c r="G83" s="29">
        <f>88823.69+33945.79+71088.82</f>
        <v>193858.30000000002</v>
      </c>
      <c r="H83" s="29">
        <v>0</v>
      </c>
      <c r="I83" s="29">
        <v>0</v>
      </c>
      <c r="J83" s="29">
        <v>0</v>
      </c>
      <c r="K83" s="29">
        <v>0</v>
      </c>
      <c r="L83" s="29">
        <v>0</v>
      </c>
      <c r="M83" s="29">
        <v>0</v>
      </c>
      <c r="N83" s="29">
        <v>0</v>
      </c>
      <c r="O83" s="29">
        <v>0</v>
      </c>
      <c r="P83" s="29">
        <v>0</v>
      </c>
      <c r="Q83" s="29">
        <v>0</v>
      </c>
      <c r="R83" s="29">
        <v>0</v>
      </c>
      <c r="S83" s="29">
        <v>0</v>
      </c>
      <c r="T83" s="29">
        <v>0</v>
      </c>
      <c r="U83" s="29">
        <v>0</v>
      </c>
      <c r="V83" s="29">
        <v>0</v>
      </c>
      <c r="W83" s="29">
        <v>0</v>
      </c>
      <c r="X83" s="29">
        <v>0</v>
      </c>
      <c r="Y83" s="29">
        <v>0</v>
      </c>
      <c r="Z83" s="29">
        <v>0</v>
      </c>
      <c r="AA83" s="29">
        <v>0</v>
      </c>
      <c r="AB83" s="29">
        <v>0</v>
      </c>
      <c r="AC83" s="29">
        <v>0</v>
      </c>
      <c r="AD83" s="29">
        <v>0</v>
      </c>
      <c r="AE83" s="29">
        <v>0</v>
      </c>
      <c r="AF83" s="29">
        <v>0</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f>3640.98+1399.89+1966.38</f>
        <v>7007.25</v>
      </c>
      <c r="AX83" s="29">
        <v>0</v>
      </c>
      <c r="AY83" s="29">
        <v>0</v>
      </c>
      <c r="AZ83" s="29">
        <f>93548.44+34678.11+120124.63</f>
        <v>248351.18</v>
      </c>
      <c r="BA83" s="29">
        <f>0+0+0</f>
        <v>0</v>
      </c>
      <c r="BB83" s="29">
        <f>741.14+267.43+345.59</f>
        <v>1354.1599999999999</v>
      </c>
      <c r="BC83" s="29">
        <v>0</v>
      </c>
      <c r="BD83" s="180">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0</v>
      </c>
      <c r="CG83" s="29">
        <v>0</v>
      </c>
      <c r="CH83" s="29">
        <v>0</v>
      </c>
      <c r="CI83" s="29">
        <v>0</v>
      </c>
      <c r="CJ83" s="29">
        <v>0</v>
      </c>
      <c r="CK83" s="29">
        <v>0</v>
      </c>
      <c r="CL83" s="29">
        <v>0</v>
      </c>
      <c r="CM83" s="29">
        <v>0</v>
      </c>
      <c r="CN83" s="29">
        <v>0</v>
      </c>
      <c r="CO83" s="29">
        <v>0</v>
      </c>
      <c r="CP83" s="29">
        <v>0</v>
      </c>
      <c r="CQ83" s="29">
        <v>0</v>
      </c>
      <c r="CR83" s="29">
        <v>0</v>
      </c>
      <c r="CS83" s="29">
        <v>0</v>
      </c>
      <c r="CT83" s="29">
        <v>0</v>
      </c>
      <c r="CU83" s="361">
        <v>0</v>
      </c>
      <c r="CV83" s="189"/>
    </row>
    <row r="84" spans="1:100" ht="38.25" x14ac:dyDescent="0.2">
      <c r="A84" s="4" t="s">
        <v>1021</v>
      </c>
      <c r="B84" s="371" t="s">
        <v>1112</v>
      </c>
      <c r="C84" s="84">
        <f>SUM(D84:DX84)</f>
        <v>466374.47000000003</v>
      </c>
      <c r="D84" s="29">
        <f>36954.98+15640.51+0</f>
        <v>52595.490000000005</v>
      </c>
      <c r="E84" s="29">
        <v>0</v>
      </c>
      <c r="F84" s="29">
        <v>0</v>
      </c>
      <c r="G84" s="29">
        <f>30285.54+11574.24+24238.62</f>
        <v>66098.399999999994</v>
      </c>
      <c r="H84" s="29">
        <v>0</v>
      </c>
      <c r="I84" s="29">
        <v>0</v>
      </c>
      <c r="J84" s="29">
        <v>0</v>
      </c>
      <c r="K84" s="29">
        <v>0</v>
      </c>
      <c r="L84" s="29">
        <v>0</v>
      </c>
      <c r="M84" s="29">
        <v>0</v>
      </c>
      <c r="N84" s="29">
        <v>0</v>
      </c>
      <c r="O84" s="29">
        <v>0</v>
      </c>
      <c r="P84" s="29">
        <v>0</v>
      </c>
      <c r="Q84" s="29">
        <v>0</v>
      </c>
      <c r="R84" s="29">
        <v>0</v>
      </c>
      <c r="S84" s="29">
        <v>0</v>
      </c>
      <c r="T84" s="29">
        <v>0</v>
      </c>
      <c r="U84" s="29">
        <v>0</v>
      </c>
      <c r="V84" s="29">
        <v>0</v>
      </c>
      <c r="W84" s="29">
        <v>0</v>
      </c>
      <c r="X84" s="29">
        <v>0</v>
      </c>
      <c r="Y84" s="29">
        <v>0</v>
      </c>
      <c r="Z84" s="29">
        <v>0</v>
      </c>
      <c r="AA84" s="29">
        <v>0</v>
      </c>
      <c r="AB84" s="29">
        <v>0</v>
      </c>
      <c r="AC84" s="29">
        <v>0</v>
      </c>
      <c r="AD84" s="29">
        <v>0</v>
      </c>
      <c r="AE84" s="29">
        <v>21178</v>
      </c>
      <c r="AF84" s="29">
        <v>0</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f>9652.85+3711.35+5207.22</f>
        <v>18571.420000000002</v>
      </c>
      <c r="AX84" s="29">
        <v>0</v>
      </c>
      <c r="AY84" s="29">
        <v>0</v>
      </c>
      <c r="AZ84" s="29">
        <f>105248.77+39015.38+135148.92</f>
        <v>279413.07</v>
      </c>
      <c r="BA84" s="29">
        <f>4704.94+1866.42+11339.91</f>
        <v>17911.27</v>
      </c>
      <c r="BB84" s="29">
        <f>5805.16+2094.71+2706.95</f>
        <v>10606.82</v>
      </c>
      <c r="BC84" s="29">
        <v>0</v>
      </c>
      <c r="BD84" s="180">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v>
      </c>
      <c r="CB84" s="29">
        <v>0</v>
      </c>
      <c r="CC84" s="29">
        <v>0</v>
      </c>
      <c r="CD84" s="29">
        <v>0</v>
      </c>
      <c r="CE84" s="29">
        <v>0</v>
      </c>
      <c r="CF84" s="29">
        <v>0</v>
      </c>
      <c r="CG84" s="29">
        <v>0</v>
      </c>
      <c r="CH84" s="29">
        <v>0</v>
      </c>
      <c r="CI84" s="29">
        <v>0</v>
      </c>
      <c r="CJ84" s="29">
        <v>0</v>
      </c>
      <c r="CK84" s="29">
        <v>0</v>
      </c>
      <c r="CL84" s="29">
        <v>0</v>
      </c>
      <c r="CM84" s="29">
        <v>0</v>
      </c>
      <c r="CN84" s="29">
        <v>0</v>
      </c>
      <c r="CO84" s="29">
        <v>0</v>
      </c>
      <c r="CP84" s="29">
        <v>0</v>
      </c>
      <c r="CQ84" s="29">
        <v>0</v>
      </c>
      <c r="CR84" s="29">
        <v>0</v>
      </c>
      <c r="CS84" s="29">
        <v>0</v>
      </c>
      <c r="CT84" s="29">
        <v>0</v>
      </c>
      <c r="CU84" s="361">
        <v>0</v>
      </c>
      <c r="CV84" s="189"/>
    </row>
    <row r="85" spans="1:100" ht="51" x14ac:dyDescent="0.2">
      <c r="A85" s="4" t="s">
        <v>1021</v>
      </c>
      <c r="B85" s="366" t="s">
        <v>1113</v>
      </c>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c r="BD85" s="192"/>
      <c r="BE85" s="191"/>
      <c r="BF85" s="191"/>
      <c r="BG85" s="191"/>
      <c r="BH85" s="191"/>
      <c r="BI85" s="191"/>
      <c r="BJ85" s="191"/>
      <c r="BK85" s="191"/>
      <c r="BL85" s="191"/>
      <c r="BM85" s="191"/>
      <c r="BN85" s="191"/>
      <c r="BO85" s="191"/>
      <c r="BP85" s="191"/>
      <c r="BQ85" s="191"/>
      <c r="BR85" s="191"/>
      <c r="BS85" s="191"/>
      <c r="BT85" s="191"/>
      <c r="BU85" s="191"/>
      <c r="BV85" s="191"/>
      <c r="BW85" s="191"/>
      <c r="BX85" s="191"/>
      <c r="BY85" s="191"/>
      <c r="BZ85" s="191"/>
      <c r="CA85" s="191"/>
      <c r="CB85" s="191"/>
      <c r="CC85" s="191"/>
      <c r="CD85" s="191"/>
      <c r="CE85" s="191"/>
      <c r="CF85" s="191"/>
      <c r="CG85" s="191"/>
      <c r="CH85" s="191"/>
      <c r="CI85" s="191"/>
      <c r="CJ85" s="191"/>
      <c r="CK85" s="191"/>
      <c r="CL85" s="191"/>
      <c r="CM85" s="191"/>
      <c r="CN85" s="191"/>
      <c r="CO85" s="191"/>
      <c r="CP85" s="191"/>
      <c r="CQ85" s="191"/>
      <c r="CR85" s="191"/>
      <c r="CS85" s="191"/>
      <c r="CT85" s="191"/>
      <c r="CU85" s="367"/>
      <c r="CV85" s="189"/>
    </row>
    <row r="86" spans="1:100" ht="38.25" x14ac:dyDescent="0.2">
      <c r="A86" s="4" t="s">
        <v>1021</v>
      </c>
      <c r="B86" s="371" t="s">
        <v>1114</v>
      </c>
      <c r="C86" s="84">
        <f>SUM(D86:DX86)</f>
        <v>217421.07999999996</v>
      </c>
      <c r="D86" s="29">
        <f>1496.31+633.28+0</f>
        <v>2129.59</v>
      </c>
      <c r="E86" s="29">
        <v>0</v>
      </c>
      <c r="F86" s="29">
        <v>0</v>
      </c>
      <c r="G86" s="29">
        <f>38759.89+14812.88+31020.94</f>
        <v>84593.709999999992</v>
      </c>
      <c r="H86" s="29">
        <v>0</v>
      </c>
      <c r="I86" s="29">
        <v>0</v>
      </c>
      <c r="J86" s="29">
        <v>0</v>
      </c>
      <c r="K86" s="29">
        <v>0</v>
      </c>
      <c r="L86" s="29">
        <v>0</v>
      </c>
      <c r="M86" s="29">
        <v>0</v>
      </c>
      <c r="N86" s="29">
        <v>0</v>
      </c>
      <c r="O86" s="29">
        <v>0</v>
      </c>
      <c r="P86" s="29">
        <v>0</v>
      </c>
      <c r="Q86" s="29">
        <v>0</v>
      </c>
      <c r="R86" s="29">
        <v>0</v>
      </c>
      <c r="S86" s="29">
        <v>0</v>
      </c>
      <c r="T86" s="29">
        <v>0</v>
      </c>
      <c r="U86" s="29">
        <v>0</v>
      </c>
      <c r="V86" s="29">
        <v>0</v>
      </c>
      <c r="W86" s="29">
        <v>0</v>
      </c>
      <c r="X86" s="29">
        <v>0</v>
      </c>
      <c r="Y86" s="29">
        <v>0</v>
      </c>
      <c r="Z86" s="29">
        <v>0</v>
      </c>
      <c r="AA86" s="29">
        <v>0</v>
      </c>
      <c r="AB86" s="29">
        <v>0</v>
      </c>
      <c r="AC86" s="29">
        <v>0</v>
      </c>
      <c r="AD86" s="29">
        <v>0</v>
      </c>
      <c r="AE86" s="29">
        <v>0</v>
      </c>
      <c r="AF86" s="29">
        <v>0</v>
      </c>
      <c r="AG86" s="29">
        <v>0</v>
      </c>
      <c r="AH86" s="29">
        <v>0</v>
      </c>
      <c r="AI86" s="29">
        <v>0</v>
      </c>
      <c r="AJ86" s="29">
        <v>0</v>
      </c>
      <c r="AK86" s="29">
        <v>0</v>
      </c>
      <c r="AL86" s="29">
        <v>0</v>
      </c>
      <c r="AM86" s="29">
        <v>0</v>
      </c>
      <c r="AN86" s="29">
        <v>0</v>
      </c>
      <c r="AO86" s="29">
        <v>0</v>
      </c>
      <c r="AP86" s="29">
        <v>0</v>
      </c>
      <c r="AQ86" s="29">
        <v>0</v>
      </c>
      <c r="AR86" s="29">
        <v>0</v>
      </c>
      <c r="AS86" s="29">
        <v>0</v>
      </c>
      <c r="AT86" s="29">
        <v>0</v>
      </c>
      <c r="AU86" s="29">
        <v>0</v>
      </c>
      <c r="AV86" s="29">
        <v>0</v>
      </c>
      <c r="AW86" s="29">
        <f>10700.75+4114.25+5602.23</f>
        <v>20417.23</v>
      </c>
      <c r="AX86" s="29">
        <f>1802.8+505.21+830.26</f>
        <v>3138.2699999999995</v>
      </c>
      <c r="AY86" s="29">
        <v>0</v>
      </c>
      <c r="AZ86" s="29">
        <f>1014.93+376.23+1303.26</f>
        <v>2694.42</v>
      </c>
      <c r="BA86" s="29">
        <f>1315.91+522.01+0</f>
        <v>1837.92</v>
      </c>
      <c r="BB86" s="29">
        <f>56158.85+20264.17+26186.92</f>
        <v>102609.93999999999</v>
      </c>
      <c r="BC86" s="29">
        <v>0</v>
      </c>
      <c r="BD86" s="180">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v>
      </c>
      <c r="CB86" s="29">
        <v>0</v>
      </c>
      <c r="CC86" s="29">
        <v>0</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361">
        <v>0</v>
      </c>
      <c r="CV86" s="189"/>
    </row>
    <row r="87" spans="1:100" ht="51" x14ac:dyDescent="0.2">
      <c r="A87" s="4" t="s">
        <v>1021</v>
      </c>
      <c r="B87" s="371" t="s">
        <v>1115</v>
      </c>
      <c r="C87" s="84">
        <f>SUM(D87:DX87)</f>
        <v>1611834.1599999997</v>
      </c>
      <c r="D87" s="29">
        <f>40740.67+17242.73+49.8</f>
        <v>58033.2</v>
      </c>
      <c r="E87" s="29">
        <v>0</v>
      </c>
      <c r="F87" s="29">
        <v>0</v>
      </c>
      <c r="G87" s="29">
        <f>145908.67+55761.97+1048936.53</f>
        <v>1250607.17</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0</v>
      </c>
      <c r="Z87" s="29">
        <v>0</v>
      </c>
      <c r="AA87" s="29">
        <v>0</v>
      </c>
      <c r="AB87" s="29">
        <v>0</v>
      </c>
      <c r="AC87" s="29">
        <v>0</v>
      </c>
      <c r="AD87" s="29">
        <v>0</v>
      </c>
      <c r="AE87" s="29">
        <v>0</v>
      </c>
      <c r="AF87" s="29">
        <v>0</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f>5381.12+2068.95+2869.11</f>
        <v>10319.18</v>
      </c>
      <c r="AX87" s="29">
        <f>13781.87+3862.14+6347.06</f>
        <v>23991.070000000003</v>
      </c>
      <c r="AY87" s="29">
        <v>0</v>
      </c>
      <c r="AZ87" s="29">
        <f>17806.66+6600.87+22865.35</f>
        <v>47272.88</v>
      </c>
      <c r="BA87" s="29">
        <f>1315.91+522.01+0</f>
        <v>1837.92</v>
      </c>
      <c r="BB87" s="29">
        <f>94057.09+33939.25+43858.9</f>
        <v>171855.24</v>
      </c>
      <c r="BC87" s="29">
        <v>0</v>
      </c>
      <c r="BD87" s="180">
        <v>0</v>
      </c>
      <c r="BE87" s="29">
        <v>0</v>
      </c>
      <c r="BF87" s="29">
        <v>0</v>
      </c>
      <c r="BG87" s="29">
        <v>0</v>
      </c>
      <c r="BH87" s="29">
        <v>0</v>
      </c>
      <c r="BI87" s="29">
        <v>0</v>
      </c>
      <c r="BJ87" s="29">
        <v>0</v>
      </c>
      <c r="BK87" s="29">
        <v>0</v>
      </c>
      <c r="BL87" s="29">
        <v>47917.5</v>
      </c>
      <c r="BM87" s="29">
        <v>0</v>
      </c>
      <c r="BN87" s="29">
        <v>0</v>
      </c>
      <c r="BO87" s="29">
        <v>0</v>
      </c>
      <c r="BP87" s="29">
        <v>0</v>
      </c>
      <c r="BQ87" s="29">
        <v>0</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0</v>
      </c>
      <c r="CI87" s="29">
        <v>0</v>
      </c>
      <c r="CJ87" s="29">
        <v>0</v>
      </c>
      <c r="CK87" s="29">
        <v>0</v>
      </c>
      <c r="CL87" s="29">
        <v>0</v>
      </c>
      <c r="CM87" s="29">
        <v>0</v>
      </c>
      <c r="CN87" s="29">
        <v>0</v>
      </c>
      <c r="CO87" s="29">
        <v>0</v>
      </c>
      <c r="CP87" s="29">
        <v>0</v>
      </c>
      <c r="CQ87" s="29">
        <v>0</v>
      </c>
      <c r="CR87" s="29">
        <v>0</v>
      </c>
      <c r="CS87" s="29">
        <v>0</v>
      </c>
      <c r="CT87" s="29">
        <v>0</v>
      </c>
      <c r="CU87" s="361">
        <v>0</v>
      </c>
      <c r="CV87" s="189"/>
    </row>
    <row r="88" spans="1:100" ht="38.25" x14ac:dyDescent="0.2">
      <c r="A88" s="4" t="s">
        <v>1021</v>
      </c>
      <c r="B88" s="371" t="s">
        <v>1116</v>
      </c>
      <c r="C88" s="84">
        <f>SUM(D88:DX88)</f>
        <v>275686.60000000003</v>
      </c>
      <c r="D88" s="29">
        <f>40132.36+16985.27+0</f>
        <v>57117.630000000005</v>
      </c>
      <c r="E88" s="29">
        <v>0</v>
      </c>
      <c r="F88" s="29">
        <v>0</v>
      </c>
      <c r="G88" s="29">
        <f>16839.56+6435.58+13477.31</f>
        <v>36752.449999999997</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v>
      </c>
      <c r="AG88" s="29">
        <v>0</v>
      </c>
      <c r="AH88" s="29">
        <v>0</v>
      </c>
      <c r="AI88" s="29">
        <v>0</v>
      </c>
      <c r="AJ88" s="29">
        <v>0</v>
      </c>
      <c r="AK88" s="29">
        <v>0</v>
      </c>
      <c r="AL88" s="29">
        <v>0</v>
      </c>
      <c r="AM88" s="29">
        <v>0</v>
      </c>
      <c r="AN88" s="29">
        <v>0</v>
      </c>
      <c r="AO88" s="29">
        <v>0</v>
      </c>
      <c r="AP88" s="29">
        <v>0</v>
      </c>
      <c r="AQ88" s="29">
        <v>0</v>
      </c>
      <c r="AR88" s="29">
        <v>0</v>
      </c>
      <c r="AS88" s="29">
        <v>0</v>
      </c>
      <c r="AT88" s="29">
        <v>0</v>
      </c>
      <c r="AU88" s="29">
        <v>0</v>
      </c>
      <c r="AV88" s="29">
        <v>0</v>
      </c>
      <c r="AW88" s="29">
        <f>0+0+0</f>
        <v>0</v>
      </c>
      <c r="AX88" s="29">
        <f>4369.74+1224.55+2012.43</f>
        <v>7606.72</v>
      </c>
      <c r="AY88" s="29">
        <v>0</v>
      </c>
      <c r="AZ88" s="29">
        <f>47364.16+17557.74+60819.86</f>
        <v>125741.76000000001</v>
      </c>
      <c r="BA88" s="29">
        <f>1315.91+522.01+0</f>
        <v>1837.92</v>
      </c>
      <c r="BB88" s="29">
        <f>25520.86+9208.86+11900.4</f>
        <v>46630.12</v>
      </c>
      <c r="BC88" s="29">
        <v>0</v>
      </c>
      <c r="BD88" s="180">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361">
        <v>0</v>
      </c>
      <c r="CV88" s="189"/>
    </row>
    <row r="89" spans="1:100" ht="38.25" x14ac:dyDescent="0.2">
      <c r="A89" s="4" t="s">
        <v>1021</v>
      </c>
      <c r="B89" s="371" t="s">
        <v>1117</v>
      </c>
      <c r="C89" s="84">
        <f>SUM(D89:DX89)</f>
        <v>368821.82999999996</v>
      </c>
      <c r="D89" s="29">
        <f>10624.37+4496.56+0</f>
        <v>15120.93</v>
      </c>
      <c r="E89" s="29">
        <v>0</v>
      </c>
      <c r="F89" s="29">
        <v>0</v>
      </c>
      <c r="G89" s="29">
        <f>106956.32+40875.54+85601.02</f>
        <v>233432.88</v>
      </c>
      <c r="H89" s="29">
        <v>3980</v>
      </c>
      <c r="I89" s="29">
        <v>0</v>
      </c>
      <c r="J89" s="29">
        <v>0</v>
      </c>
      <c r="K89" s="29">
        <v>0</v>
      </c>
      <c r="L89" s="29">
        <v>0</v>
      </c>
      <c r="M89" s="29">
        <v>0</v>
      </c>
      <c r="N89" s="29">
        <v>0</v>
      </c>
      <c r="O89" s="29">
        <v>0</v>
      </c>
      <c r="P89" s="29">
        <v>0</v>
      </c>
      <c r="Q89" s="29">
        <v>0</v>
      </c>
      <c r="R89" s="29">
        <v>0</v>
      </c>
      <c r="S89" s="29">
        <v>0</v>
      </c>
      <c r="T89" s="29">
        <v>0</v>
      </c>
      <c r="U89" s="29">
        <v>0</v>
      </c>
      <c r="V89" s="29">
        <v>0</v>
      </c>
      <c r="W89" s="29">
        <v>0</v>
      </c>
      <c r="X89" s="29">
        <v>0</v>
      </c>
      <c r="Y89" s="29">
        <v>0</v>
      </c>
      <c r="Z89" s="29">
        <v>0</v>
      </c>
      <c r="AA89" s="29">
        <v>0</v>
      </c>
      <c r="AB89" s="29">
        <v>0</v>
      </c>
      <c r="AC89" s="29">
        <v>0</v>
      </c>
      <c r="AD89" s="29">
        <v>0</v>
      </c>
      <c r="AE89" s="29">
        <v>0</v>
      </c>
      <c r="AF89" s="29">
        <v>0</v>
      </c>
      <c r="AG89" s="29">
        <v>0</v>
      </c>
      <c r="AH89" s="29">
        <v>0</v>
      </c>
      <c r="AI89" s="29">
        <v>0</v>
      </c>
      <c r="AJ89" s="29">
        <v>0</v>
      </c>
      <c r="AK89" s="29">
        <v>0</v>
      </c>
      <c r="AL89" s="29">
        <v>0</v>
      </c>
      <c r="AM89" s="29">
        <v>0</v>
      </c>
      <c r="AN89" s="29">
        <v>0</v>
      </c>
      <c r="AO89" s="29">
        <v>0</v>
      </c>
      <c r="AP89" s="29">
        <v>0</v>
      </c>
      <c r="AQ89" s="29">
        <v>0</v>
      </c>
      <c r="AR89" s="29">
        <v>0</v>
      </c>
      <c r="AS89" s="29">
        <v>0</v>
      </c>
      <c r="AT89" s="29">
        <v>0</v>
      </c>
      <c r="AU89" s="29">
        <v>0</v>
      </c>
      <c r="AV89" s="29">
        <v>0</v>
      </c>
      <c r="AW89" s="29">
        <f>0+0+0</f>
        <v>0</v>
      </c>
      <c r="AX89" s="29">
        <f>4369.74+1224.55+2012.43</f>
        <v>7606.72</v>
      </c>
      <c r="AY89" s="29">
        <v>0</v>
      </c>
      <c r="AZ89" s="29">
        <f>3815.71+1414.47+4899.72</f>
        <v>10129.900000000001</v>
      </c>
      <c r="BA89" s="29">
        <f>9211.36+3654.08+0</f>
        <v>12865.44</v>
      </c>
      <c r="BB89" s="29">
        <f>46896.28+16921.9+21867.78</f>
        <v>85685.959999999992</v>
      </c>
      <c r="BC89" s="29">
        <v>0</v>
      </c>
      <c r="BD89" s="180">
        <v>0</v>
      </c>
      <c r="BE89" s="29">
        <v>0</v>
      </c>
      <c r="BF89" s="29">
        <v>0</v>
      </c>
      <c r="BG89" s="29">
        <v>0</v>
      </c>
      <c r="BH89" s="29">
        <v>0</v>
      </c>
      <c r="BI89" s="29">
        <v>0</v>
      </c>
      <c r="BJ89" s="29">
        <v>0</v>
      </c>
      <c r="BK89" s="29">
        <v>0</v>
      </c>
      <c r="BL89" s="29">
        <v>0</v>
      </c>
      <c r="BM89" s="29">
        <v>0</v>
      </c>
      <c r="BN89" s="29">
        <v>0</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0</v>
      </c>
      <c r="CI89" s="29">
        <v>0</v>
      </c>
      <c r="CJ89" s="29">
        <v>0</v>
      </c>
      <c r="CK89" s="29">
        <v>0</v>
      </c>
      <c r="CL89" s="29">
        <v>0</v>
      </c>
      <c r="CM89" s="29">
        <v>0</v>
      </c>
      <c r="CN89" s="29">
        <v>0</v>
      </c>
      <c r="CO89" s="29">
        <v>0</v>
      </c>
      <c r="CP89" s="29">
        <v>0</v>
      </c>
      <c r="CQ89" s="29">
        <v>0</v>
      </c>
      <c r="CR89" s="29">
        <v>0</v>
      </c>
      <c r="CS89" s="29">
        <v>0</v>
      </c>
      <c r="CT89" s="29">
        <v>0</v>
      </c>
      <c r="CU89" s="361">
        <v>0</v>
      </c>
      <c r="CV89" s="189"/>
    </row>
    <row r="90" spans="1:100" ht="38.25" x14ac:dyDescent="0.2">
      <c r="A90" s="4" t="s">
        <v>1021</v>
      </c>
      <c r="B90" s="366" t="s">
        <v>1118</v>
      </c>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2"/>
      <c r="BE90" s="191"/>
      <c r="BF90" s="191"/>
      <c r="BG90" s="191"/>
      <c r="BH90" s="191"/>
      <c r="BI90" s="191"/>
      <c r="BJ90" s="191"/>
      <c r="BK90" s="191"/>
      <c r="BL90" s="191"/>
      <c r="BM90" s="191"/>
      <c r="BN90" s="191"/>
      <c r="BO90" s="191"/>
      <c r="BP90" s="191"/>
      <c r="BQ90" s="191"/>
      <c r="BR90" s="191"/>
      <c r="BS90" s="191"/>
      <c r="BT90" s="191"/>
      <c r="BU90" s="191"/>
      <c r="BV90" s="191"/>
      <c r="BW90" s="191"/>
      <c r="BX90" s="191"/>
      <c r="BY90" s="191"/>
      <c r="BZ90" s="191"/>
      <c r="CA90" s="191"/>
      <c r="CB90" s="191"/>
      <c r="CC90" s="191"/>
      <c r="CD90" s="191"/>
      <c r="CE90" s="191"/>
      <c r="CF90" s="191"/>
      <c r="CG90" s="191"/>
      <c r="CH90" s="191"/>
      <c r="CI90" s="191"/>
      <c r="CJ90" s="191"/>
      <c r="CK90" s="191"/>
      <c r="CL90" s="191"/>
      <c r="CM90" s="191"/>
      <c r="CN90" s="191"/>
      <c r="CO90" s="191"/>
      <c r="CP90" s="191"/>
      <c r="CQ90" s="191"/>
      <c r="CR90" s="191"/>
      <c r="CS90" s="191"/>
      <c r="CT90" s="191"/>
      <c r="CU90" s="367"/>
      <c r="CV90" s="189"/>
    </row>
    <row r="91" spans="1:100" ht="38.25" x14ac:dyDescent="0.2">
      <c r="A91" s="4" t="s">
        <v>1021</v>
      </c>
      <c r="B91" s="371" t="s">
        <v>1119</v>
      </c>
      <c r="C91" s="84">
        <f>SUM(D91:DX91)</f>
        <v>3903501.17</v>
      </c>
      <c r="D91" s="29">
        <f>407552.07+172488.82+5214.18</f>
        <v>585255.07000000007</v>
      </c>
      <c r="E91" s="29">
        <v>0</v>
      </c>
      <c r="F91" s="29">
        <v>0</v>
      </c>
      <c r="G91" s="29">
        <v>0</v>
      </c>
      <c r="H91" s="29">
        <v>0</v>
      </c>
      <c r="I91" s="29">
        <v>0</v>
      </c>
      <c r="J91" s="29">
        <v>471</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f>455995.03+175321.93+1035663.57</f>
        <v>1666980.5299999998</v>
      </c>
      <c r="AX91" s="29">
        <v>0</v>
      </c>
      <c r="AY91" s="29">
        <v>0</v>
      </c>
      <c r="AZ91" s="29">
        <f>133265.76+49401.19+339256.32</f>
        <v>521923.27</v>
      </c>
      <c r="BA91" s="29">
        <f>119.28+47.32+101928.24</f>
        <v>102094.84000000001</v>
      </c>
      <c r="BB91" s="29">
        <f>67457.8+24341.25+420253.38</f>
        <v>512052.43</v>
      </c>
      <c r="BC91" s="29">
        <f>290759.39+123966.86+99997.78</f>
        <v>514724.03</v>
      </c>
      <c r="BD91" s="180">
        <v>0</v>
      </c>
      <c r="BE91" s="29">
        <v>0</v>
      </c>
      <c r="BF91" s="29">
        <v>0</v>
      </c>
      <c r="BG91" s="29">
        <v>0</v>
      </c>
      <c r="BH91" s="29">
        <v>0</v>
      </c>
      <c r="BI91" s="29">
        <v>0</v>
      </c>
      <c r="BJ91" s="29">
        <v>0</v>
      </c>
      <c r="BK91" s="29">
        <v>0</v>
      </c>
      <c r="BL91" s="29">
        <v>0</v>
      </c>
      <c r="BM91" s="29">
        <v>0</v>
      </c>
      <c r="BN91" s="29">
        <v>0</v>
      </c>
      <c r="BO91" s="29">
        <v>0</v>
      </c>
      <c r="BP91" s="29">
        <v>0</v>
      </c>
      <c r="BQ91" s="29">
        <v>0</v>
      </c>
      <c r="BR91" s="29">
        <v>0</v>
      </c>
      <c r="BS91" s="29">
        <v>0</v>
      </c>
      <c r="BT91" s="29">
        <v>0</v>
      </c>
      <c r="BU91" s="29">
        <v>0</v>
      </c>
      <c r="BV91" s="29">
        <v>0</v>
      </c>
      <c r="BW91" s="29">
        <v>0</v>
      </c>
      <c r="BX91" s="29">
        <v>0</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361">
        <v>0</v>
      </c>
      <c r="CV91" s="189"/>
    </row>
    <row r="92" spans="1:100" ht="60" customHeight="1" x14ac:dyDescent="0.2">
      <c r="A92" s="4" t="s">
        <v>1022</v>
      </c>
      <c r="B92" s="372" t="s">
        <v>1120</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4"/>
      <c r="BE92" s="193"/>
      <c r="BF92" s="193"/>
      <c r="BG92" s="193"/>
      <c r="BH92" s="193"/>
      <c r="BI92" s="193"/>
      <c r="BJ92" s="193"/>
      <c r="BK92" s="193"/>
      <c r="BL92" s="193"/>
      <c r="BM92" s="193"/>
      <c r="BN92" s="193"/>
      <c r="BO92" s="193"/>
      <c r="BP92" s="193"/>
      <c r="BQ92" s="193"/>
      <c r="BR92" s="193"/>
      <c r="BS92" s="193"/>
      <c r="BT92" s="193"/>
      <c r="BU92" s="193"/>
      <c r="BV92" s="193"/>
      <c r="BW92" s="193"/>
      <c r="BX92" s="193"/>
      <c r="BY92" s="193"/>
      <c r="BZ92" s="193"/>
      <c r="CA92" s="193"/>
      <c r="CB92" s="193"/>
      <c r="CC92" s="193"/>
      <c r="CD92" s="193"/>
      <c r="CE92" s="193"/>
      <c r="CF92" s="193"/>
      <c r="CG92" s="193"/>
      <c r="CH92" s="193"/>
      <c r="CI92" s="193"/>
      <c r="CJ92" s="193"/>
      <c r="CK92" s="193"/>
      <c r="CL92" s="193"/>
      <c r="CM92" s="193"/>
      <c r="CN92" s="193"/>
      <c r="CO92" s="193"/>
      <c r="CP92" s="193"/>
      <c r="CQ92" s="193"/>
      <c r="CR92" s="193"/>
      <c r="CS92" s="193"/>
      <c r="CT92" s="193"/>
      <c r="CU92" s="365"/>
      <c r="CV92" s="189"/>
    </row>
    <row r="93" spans="1:100" ht="38.25" x14ac:dyDescent="0.2">
      <c r="A93" s="4" t="s">
        <v>1022</v>
      </c>
      <c r="B93" s="366" t="s">
        <v>1121</v>
      </c>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1"/>
      <c r="AZ93" s="191"/>
      <c r="BA93" s="191"/>
      <c r="BB93" s="191"/>
      <c r="BC93" s="191"/>
      <c r="BD93" s="192"/>
      <c r="BE93" s="191"/>
      <c r="BF93" s="191"/>
      <c r="BG93" s="191"/>
      <c r="BH93" s="191"/>
      <c r="BI93" s="191"/>
      <c r="BJ93" s="191"/>
      <c r="BK93" s="191"/>
      <c r="BL93" s="191"/>
      <c r="BM93" s="191"/>
      <c r="BN93" s="191"/>
      <c r="BO93" s="191"/>
      <c r="BP93" s="191"/>
      <c r="BQ93" s="191"/>
      <c r="BR93" s="191"/>
      <c r="BS93" s="191"/>
      <c r="BT93" s="191"/>
      <c r="BU93" s="191"/>
      <c r="BV93" s="191"/>
      <c r="BW93" s="191"/>
      <c r="BX93" s="191"/>
      <c r="BY93" s="191"/>
      <c r="BZ93" s="191"/>
      <c r="CA93" s="191"/>
      <c r="CB93" s="191"/>
      <c r="CC93" s="191"/>
      <c r="CD93" s="191"/>
      <c r="CE93" s="191"/>
      <c r="CF93" s="191"/>
      <c r="CG93" s="191"/>
      <c r="CH93" s="191"/>
      <c r="CI93" s="191"/>
      <c r="CJ93" s="191"/>
      <c r="CK93" s="191"/>
      <c r="CL93" s="191"/>
      <c r="CM93" s="191"/>
      <c r="CN93" s="191"/>
      <c r="CO93" s="191"/>
      <c r="CP93" s="191"/>
      <c r="CQ93" s="191"/>
      <c r="CR93" s="191"/>
      <c r="CS93" s="191"/>
      <c r="CT93" s="191"/>
      <c r="CU93" s="367"/>
      <c r="CV93" s="189"/>
    </row>
    <row r="94" spans="1:100" ht="38.25" x14ac:dyDescent="0.2">
      <c r="A94" s="4" t="s">
        <v>1022</v>
      </c>
      <c r="B94" s="371" t="s">
        <v>1122</v>
      </c>
      <c r="C94" s="84">
        <f>SUM(D94:DX94)</f>
        <v>4605850</v>
      </c>
      <c r="D94" s="29">
        <v>68222</v>
      </c>
      <c r="E94" s="29"/>
      <c r="F94" s="29">
        <v>0</v>
      </c>
      <c r="G94" s="29">
        <v>2393315</v>
      </c>
      <c r="H94" s="29">
        <v>0</v>
      </c>
      <c r="I94" s="29">
        <v>0</v>
      </c>
      <c r="J94" s="29">
        <v>0</v>
      </c>
      <c r="K94" s="29">
        <v>0</v>
      </c>
      <c r="L94" s="29">
        <v>0</v>
      </c>
      <c r="M94" s="29">
        <v>0</v>
      </c>
      <c r="N94" s="29">
        <v>614161</v>
      </c>
      <c r="O94" s="29">
        <v>0</v>
      </c>
      <c r="P94" s="29">
        <v>0</v>
      </c>
      <c r="Q94" s="29">
        <v>0</v>
      </c>
      <c r="R94" s="29">
        <v>0</v>
      </c>
      <c r="S94" s="29">
        <v>0</v>
      </c>
      <c r="T94" s="29">
        <v>0</v>
      </c>
      <c r="U94" s="29">
        <v>0</v>
      </c>
      <c r="V94" s="29">
        <v>0</v>
      </c>
      <c r="W94" s="29">
        <v>0</v>
      </c>
      <c r="X94" s="29">
        <v>0</v>
      </c>
      <c r="Y94" s="29">
        <v>0</v>
      </c>
      <c r="Z94" s="29">
        <v>0</v>
      </c>
      <c r="AA94" s="29">
        <v>0</v>
      </c>
      <c r="AB94" s="29">
        <v>0</v>
      </c>
      <c r="AC94" s="29">
        <v>0</v>
      </c>
      <c r="AD94" s="29">
        <v>0</v>
      </c>
      <c r="AE94" s="29">
        <v>0</v>
      </c>
      <c r="AF94" s="29">
        <v>0</v>
      </c>
      <c r="AG94" s="29">
        <v>0</v>
      </c>
      <c r="AH94" s="29">
        <v>0</v>
      </c>
      <c r="AI94" s="29">
        <v>0</v>
      </c>
      <c r="AJ94" s="29">
        <v>0</v>
      </c>
      <c r="AK94" s="29">
        <v>0</v>
      </c>
      <c r="AL94" s="29">
        <v>0</v>
      </c>
      <c r="AM94" s="29">
        <v>0</v>
      </c>
      <c r="AN94" s="29">
        <v>0</v>
      </c>
      <c r="AO94" s="29">
        <v>0</v>
      </c>
      <c r="AP94" s="29">
        <v>0</v>
      </c>
      <c r="AQ94" s="29">
        <v>0</v>
      </c>
      <c r="AR94" s="29">
        <v>0</v>
      </c>
      <c r="AS94" s="29">
        <v>0</v>
      </c>
      <c r="AT94" s="29">
        <v>0</v>
      </c>
      <c r="AU94" s="29">
        <v>0</v>
      </c>
      <c r="AV94" s="29">
        <v>0</v>
      </c>
      <c r="AW94" s="29">
        <v>0</v>
      </c>
      <c r="AX94" s="29">
        <v>0</v>
      </c>
      <c r="AY94" s="29">
        <v>0</v>
      </c>
      <c r="AZ94" s="29">
        <v>0</v>
      </c>
      <c r="BA94" s="29">
        <v>0</v>
      </c>
      <c r="BB94" s="29">
        <v>0</v>
      </c>
      <c r="BC94" s="29">
        <v>0</v>
      </c>
      <c r="BD94" s="180">
        <f>300510+22000+18595</f>
        <v>341105</v>
      </c>
      <c r="BE94" s="29">
        <v>0</v>
      </c>
      <c r="BF94" s="29">
        <v>70758</v>
      </c>
      <c r="BG94" s="29">
        <v>0</v>
      </c>
      <c r="BH94" s="29">
        <v>45651</v>
      </c>
      <c r="BI94" s="29">
        <v>0</v>
      </c>
      <c r="BJ94" s="29">
        <v>130006</v>
      </c>
      <c r="BK94" s="29">
        <v>0</v>
      </c>
      <c r="BL94" s="29"/>
      <c r="BM94" s="29">
        <v>0</v>
      </c>
      <c r="BN94" s="29">
        <v>0</v>
      </c>
      <c r="BO94" s="29">
        <v>0</v>
      </c>
      <c r="BP94" s="29">
        <v>0</v>
      </c>
      <c r="BQ94" s="29">
        <v>0</v>
      </c>
      <c r="BR94" s="29">
        <v>0</v>
      </c>
      <c r="BS94" s="29">
        <v>0</v>
      </c>
      <c r="BT94" s="29">
        <v>0</v>
      </c>
      <c r="BU94" s="29">
        <v>0</v>
      </c>
      <c r="BV94" s="29">
        <v>0</v>
      </c>
      <c r="BW94" s="29">
        <v>95399</v>
      </c>
      <c r="BX94" s="29">
        <v>26225</v>
      </c>
      <c r="BY94" s="29">
        <v>30</v>
      </c>
      <c r="BZ94" s="29">
        <v>0</v>
      </c>
      <c r="CA94" s="29">
        <v>70256</v>
      </c>
      <c r="CB94" s="29">
        <v>199718</v>
      </c>
      <c r="CC94" s="29">
        <v>10000</v>
      </c>
      <c r="CD94" s="29">
        <v>0</v>
      </c>
      <c r="CE94" s="29">
        <v>0</v>
      </c>
      <c r="CF94" s="29"/>
      <c r="CG94" s="29">
        <v>0</v>
      </c>
      <c r="CH94" s="29">
        <v>467187</v>
      </c>
      <c r="CI94" s="29">
        <v>0</v>
      </c>
      <c r="CJ94" s="29">
        <v>0</v>
      </c>
      <c r="CK94" s="29">
        <v>30560</v>
      </c>
      <c r="CL94" s="29">
        <v>43257</v>
      </c>
      <c r="CM94" s="29"/>
      <c r="CN94" s="29">
        <v>0</v>
      </c>
      <c r="CO94" s="29">
        <v>0</v>
      </c>
      <c r="CP94" s="29">
        <v>0</v>
      </c>
      <c r="CQ94" s="29">
        <v>0</v>
      </c>
      <c r="CR94" s="29">
        <v>0</v>
      </c>
      <c r="CS94" s="29">
        <v>0</v>
      </c>
      <c r="CT94" s="29">
        <v>0</v>
      </c>
      <c r="CU94" s="361">
        <v>0</v>
      </c>
      <c r="CV94" s="189"/>
    </row>
    <row r="95" spans="1:100" ht="38.25" x14ac:dyDescent="0.2">
      <c r="A95" s="4" t="s">
        <v>1022</v>
      </c>
      <c r="B95" s="371" t="s">
        <v>1123</v>
      </c>
      <c r="C95" s="84">
        <f>SUM(D95:DX95)</f>
        <v>13135565.340000002</v>
      </c>
      <c r="D95" s="29">
        <v>90999.45</v>
      </c>
      <c r="E95" s="29">
        <f>541297+25841.78</f>
        <v>567138.78</v>
      </c>
      <c r="F95" s="29">
        <v>0</v>
      </c>
      <c r="G95" s="29">
        <v>3305350</v>
      </c>
      <c r="H95" s="29">
        <v>1457413.49</v>
      </c>
      <c r="I95" s="29">
        <v>67670</v>
      </c>
      <c r="J95" s="29">
        <f>2972022.04+402010</f>
        <v>3374032.04</v>
      </c>
      <c r="K95" s="29">
        <v>0</v>
      </c>
      <c r="L95" s="29">
        <v>0</v>
      </c>
      <c r="M95" s="29">
        <v>6707.97</v>
      </c>
      <c r="N95" s="29">
        <v>882902</v>
      </c>
      <c r="O95" s="29">
        <v>0</v>
      </c>
      <c r="P95" s="29">
        <v>0</v>
      </c>
      <c r="Q95" s="29">
        <v>0</v>
      </c>
      <c r="R95" s="29">
        <v>0</v>
      </c>
      <c r="S95" s="29">
        <v>0</v>
      </c>
      <c r="T95" s="29">
        <v>0</v>
      </c>
      <c r="U95" s="29">
        <v>0</v>
      </c>
      <c r="V95" s="29">
        <v>0</v>
      </c>
      <c r="W95" s="29">
        <v>0</v>
      </c>
      <c r="X95" s="29">
        <v>0</v>
      </c>
      <c r="Y95" s="29">
        <v>0</v>
      </c>
      <c r="Z95" s="29">
        <v>0</v>
      </c>
      <c r="AA95" s="29">
        <v>0</v>
      </c>
      <c r="AB95" s="29">
        <v>0</v>
      </c>
      <c r="AC95" s="29">
        <v>0</v>
      </c>
      <c r="AD95" s="29">
        <v>0</v>
      </c>
      <c r="AE95" s="29">
        <v>35800</v>
      </c>
      <c r="AF95" s="29">
        <v>0</v>
      </c>
      <c r="AG95" s="29">
        <v>0</v>
      </c>
      <c r="AH95" s="29">
        <v>0</v>
      </c>
      <c r="AI95" s="29">
        <v>0</v>
      </c>
      <c r="AJ95" s="29">
        <v>0</v>
      </c>
      <c r="AK95" s="29">
        <v>0</v>
      </c>
      <c r="AL95" s="29">
        <v>0</v>
      </c>
      <c r="AM95" s="29">
        <v>0</v>
      </c>
      <c r="AN95" s="29">
        <v>0</v>
      </c>
      <c r="AO95" s="29">
        <v>0</v>
      </c>
      <c r="AP95" s="29">
        <v>0</v>
      </c>
      <c r="AQ95" s="29">
        <v>0</v>
      </c>
      <c r="AR95" s="29">
        <v>0</v>
      </c>
      <c r="AS95" s="29">
        <v>0</v>
      </c>
      <c r="AT95" s="29">
        <v>0</v>
      </c>
      <c r="AU95" s="29">
        <v>0</v>
      </c>
      <c r="AV95" s="29">
        <v>0</v>
      </c>
      <c r="AW95" s="29">
        <v>0</v>
      </c>
      <c r="AX95" s="29">
        <v>0</v>
      </c>
      <c r="AY95" s="29">
        <v>0</v>
      </c>
      <c r="AZ95" s="29">
        <v>0</v>
      </c>
      <c r="BA95" s="29">
        <v>0</v>
      </c>
      <c r="BB95" s="29">
        <v>0</v>
      </c>
      <c r="BC95" s="29">
        <v>0</v>
      </c>
      <c r="BD95" s="180">
        <v>84605.48</v>
      </c>
      <c r="BE95" s="29">
        <v>1149.6400000000001</v>
      </c>
      <c r="BF95" s="29">
        <v>374983.29</v>
      </c>
      <c r="BG95" s="29">
        <v>84317</v>
      </c>
      <c r="BH95" s="29">
        <v>0</v>
      </c>
      <c r="BI95" s="29">
        <v>0</v>
      </c>
      <c r="BJ95" s="29">
        <v>830889.4</v>
      </c>
      <c r="BK95" s="29">
        <v>0</v>
      </c>
      <c r="BL95" s="29">
        <v>0</v>
      </c>
      <c r="BM95" s="29">
        <v>0</v>
      </c>
      <c r="BN95" s="29">
        <v>0</v>
      </c>
      <c r="BO95" s="29">
        <v>0</v>
      </c>
      <c r="BP95" s="29">
        <v>0</v>
      </c>
      <c r="BQ95" s="29">
        <v>0</v>
      </c>
      <c r="BR95" s="29">
        <v>0</v>
      </c>
      <c r="BS95" s="29">
        <v>0</v>
      </c>
      <c r="BT95" s="29">
        <v>0</v>
      </c>
      <c r="BU95" s="29">
        <v>0</v>
      </c>
      <c r="BV95" s="29">
        <v>0</v>
      </c>
      <c r="BW95" s="29">
        <v>505570.8</v>
      </c>
      <c r="BX95" s="29">
        <v>139065</v>
      </c>
      <c r="BY95" s="29">
        <v>0</v>
      </c>
      <c r="BZ95" s="29">
        <v>0</v>
      </c>
      <c r="CA95" s="29">
        <v>0</v>
      </c>
      <c r="CB95" s="29">
        <v>0</v>
      </c>
      <c r="CC95" s="29">
        <v>0</v>
      </c>
      <c r="CD95" s="29">
        <v>110095</v>
      </c>
      <c r="CE95" s="29">
        <f>154471</f>
        <v>154471</v>
      </c>
      <c r="CF95" s="29">
        <v>0</v>
      </c>
      <c r="CG95" s="29">
        <v>148151</v>
      </c>
      <c r="CH95" s="29">
        <v>236662</v>
      </c>
      <c r="CI95" s="29">
        <f>675671+1921</f>
        <v>677592</v>
      </c>
      <c r="CJ95" s="29">
        <v>0</v>
      </c>
      <c r="CK95" s="29">
        <v>0</v>
      </c>
      <c r="CL95" s="29">
        <v>0</v>
      </c>
      <c r="CM95" s="29">
        <v>0</v>
      </c>
      <c r="CN95" s="29">
        <v>0</v>
      </c>
      <c r="CO95" s="29">
        <v>0</v>
      </c>
      <c r="CP95" s="29">
        <v>0</v>
      </c>
      <c r="CQ95" s="29">
        <v>0</v>
      </c>
      <c r="CR95" s="29">
        <v>0</v>
      </c>
      <c r="CS95" s="29">
        <v>0</v>
      </c>
      <c r="CT95" s="29">
        <v>0</v>
      </c>
      <c r="CU95" s="361">
        <v>0</v>
      </c>
      <c r="CV95" s="189"/>
    </row>
    <row r="96" spans="1:100" ht="38.25" x14ac:dyDescent="0.2">
      <c r="A96" s="4" t="s">
        <v>1022</v>
      </c>
      <c r="B96" s="371" t="s">
        <v>1124</v>
      </c>
      <c r="C96" s="84">
        <f>SUM(D96:DX96)</f>
        <v>1092486.5</v>
      </c>
      <c r="D96" s="29">
        <v>28979</v>
      </c>
      <c r="E96" s="29">
        <v>107</v>
      </c>
      <c r="F96" s="29">
        <v>0</v>
      </c>
      <c r="G96" s="29">
        <f>373246+29127+144733</f>
        <v>547106</v>
      </c>
      <c r="H96" s="29">
        <v>0</v>
      </c>
      <c r="I96" s="29">
        <v>0</v>
      </c>
      <c r="J96" s="29">
        <v>0</v>
      </c>
      <c r="K96" s="29">
        <v>0</v>
      </c>
      <c r="L96" s="29">
        <v>0</v>
      </c>
      <c r="M96" s="29">
        <v>0</v>
      </c>
      <c r="N96" s="29">
        <f>49672+6524+49306</f>
        <v>105502</v>
      </c>
      <c r="O96" s="29">
        <v>0</v>
      </c>
      <c r="P96" s="29">
        <v>0</v>
      </c>
      <c r="Q96" s="29">
        <v>0</v>
      </c>
      <c r="R96" s="29">
        <v>0</v>
      </c>
      <c r="S96" s="29">
        <v>0</v>
      </c>
      <c r="T96" s="29">
        <v>0</v>
      </c>
      <c r="U96" s="29">
        <v>0</v>
      </c>
      <c r="V96" s="29">
        <v>0</v>
      </c>
      <c r="W96" s="29">
        <v>0</v>
      </c>
      <c r="X96" s="29">
        <v>0</v>
      </c>
      <c r="Y96" s="29">
        <v>0</v>
      </c>
      <c r="Z96" s="29">
        <v>0</v>
      </c>
      <c r="AA96" s="29">
        <v>0</v>
      </c>
      <c r="AB96" s="29">
        <v>0</v>
      </c>
      <c r="AC96" s="29">
        <v>0</v>
      </c>
      <c r="AD96" s="29">
        <v>0</v>
      </c>
      <c r="AE96" s="29">
        <v>0</v>
      </c>
      <c r="AF96" s="29">
        <v>0</v>
      </c>
      <c r="AG96" s="29">
        <v>0</v>
      </c>
      <c r="AH96" s="29">
        <v>0</v>
      </c>
      <c r="AI96" s="29">
        <v>0</v>
      </c>
      <c r="AJ96" s="29">
        <v>0</v>
      </c>
      <c r="AK96" s="29">
        <v>0</v>
      </c>
      <c r="AL96" s="29">
        <v>0</v>
      </c>
      <c r="AM96" s="29">
        <v>0</v>
      </c>
      <c r="AN96" s="29">
        <v>0</v>
      </c>
      <c r="AO96" s="29">
        <v>0</v>
      </c>
      <c r="AP96" s="29">
        <v>0</v>
      </c>
      <c r="AQ96" s="29">
        <v>0</v>
      </c>
      <c r="AR96" s="29">
        <v>0</v>
      </c>
      <c r="AS96" s="29">
        <v>0</v>
      </c>
      <c r="AT96" s="29">
        <v>0</v>
      </c>
      <c r="AU96" s="29">
        <v>0</v>
      </c>
      <c r="AV96" s="29">
        <v>0</v>
      </c>
      <c r="AW96" s="29">
        <v>0</v>
      </c>
      <c r="AX96" s="29">
        <v>0</v>
      </c>
      <c r="AY96" s="29">
        <v>0</v>
      </c>
      <c r="AZ96" s="29">
        <v>0</v>
      </c>
      <c r="BA96" s="29">
        <v>0</v>
      </c>
      <c r="BB96" s="29">
        <v>0</v>
      </c>
      <c r="BC96" s="29">
        <v>0</v>
      </c>
      <c r="BD96" s="180">
        <f>85032+12108</f>
        <v>97140</v>
      </c>
      <c r="BE96" s="29">
        <v>0</v>
      </c>
      <c r="BF96" s="29">
        <v>3720</v>
      </c>
      <c r="BG96" s="29">
        <v>0</v>
      </c>
      <c r="BH96" s="29">
        <v>0</v>
      </c>
      <c r="BI96" s="29">
        <v>0</v>
      </c>
      <c r="BJ96" s="29">
        <v>0</v>
      </c>
      <c r="BK96" s="29">
        <v>0</v>
      </c>
      <c r="BL96" s="29">
        <v>8426.77</v>
      </c>
      <c r="BM96" s="29">
        <v>0</v>
      </c>
      <c r="BN96" s="29">
        <v>0</v>
      </c>
      <c r="BO96" s="29">
        <v>0</v>
      </c>
      <c r="BP96" s="29">
        <v>0</v>
      </c>
      <c r="BQ96" s="29">
        <v>0</v>
      </c>
      <c r="BR96" s="29">
        <v>0</v>
      </c>
      <c r="BS96" s="29">
        <v>0</v>
      </c>
      <c r="BT96" s="29">
        <v>0</v>
      </c>
      <c r="BU96" s="29">
        <v>0</v>
      </c>
      <c r="BV96" s="29">
        <v>0</v>
      </c>
      <c r="BW96" s="29">
        <v>5016</v>
      </c>
      <c r="BX96" s="29">
        <f>166643.73+1379</f>
        <v>168022.73</v>
      </c>
      <c r="BY96" s="29">
        <v>0</v>
      </c>
      <c r="BZ96" s="29">
        <v>0</v>
      </c>
      <c r="CA96" s="29">
        <v>0</v>
      </c>
      <c r="CB96" s="29">
        <v>0</v>
      </c>
      <c r="CC96" s="29">
        <v>0</v>
      </c>
      <c r="CD96" s="29">
        <v>0</v>
      </c>
      <c r="CE96" s="29">
        <v>0</v>
      </c>
      <c r="CF96" s="29">
        <v>128467</v>
      </c>
      <c r="CG96" s="29">
        <v>0</v>
      </c>
      <c r="CH96" s="29">
        <v>0</v>
      </c>
      <c r="CI96" s="29">
        <v>0</v>
      </c>
      <c r="CJ96" s="29">
        <v>0</v>
      </c>
      <c r="CK96" s="29">
        <v>0</v>
      </c>
      <c r="CL96" s="29">
        <v>0</v>
      </c>
      <c r="CM96" s="29">
        <v>0</v>
      </c>
      <c r="CN96" s="29">
        <v>0</v>
      </c>
      <c r="CO96" s="29">
        <v>0</v>
      </c>
      <c r="CP96" s="29">
        <v>0</v>
      </c>
      <c r="CQ96" s="29">
        <v>0</v>
      </c>
      <c r="CR96" s="29">
        <v>0</v>
      </c>
      <c r="CS96" s="29">
        <v>0</v>
      </c>
      <c r="CT96" s="29">
        <v>0</v>
      </c>
      <c r="CU96" s="361">
        <v>0</v>
      </c>
      <c r="CV96" s="189"/>
    </row>
    <row r="97" spans="1:100" ht="38.25" x14ac:dyDescent="0.2">
      <c r="A97" s="4" t="s">
        <v>1022</v>
      </c>
      <c r="B97" s="371" t="s">
        <v>1125</v>
      </c>
      <c r="C97" s="84">
        <f>SUM(D97:DX97)</f>
        <v>2016906.78</v>
      </c>
      <c r="D97" s="29">
        <v>23545</v>
      </c>
      <c r="E97" s="29">
        <v>3015</v>
      </c>
      <c r="F97" s="29">
        <v>0</v>
      </c>
      <c r="G97" s="29">
        <f>250058+824305+136439</f>
        <v>1210802</v>
      </c>
      <c r="H97" s="29">
        <v>0</v>
      </c>
      <c r="I97" s="29">
        <v>0</v>
      </c>
      <c r="J97" s="29">
        <v>2486.7800000000002</v>
      </c>
      <c r="K97" s="29">
        <v>0</v>
      </c>
      <c r="L97" s="29">
        <v>0</v>
      </c>
      <c r="M97" s="29">
        <v>0</v>
      </c>
      <c r="N97" s="29">
        <f>56131+184637+51067</f>
        <v>291835</v>
      </c>
      <c r="O97" s="29">
        <v>0</v>
      </c>
      <c r="P97" s="29">
        <v>0</v>
      </c>
      <c r="Q97" s="29">
        <v>0</v>
      </c>
      <c r="R97" s="29">
        <v>0</v>
      </c>
      <c r="S97" s="29">
        <v>0</v>
      </c>
      <c r="T97" s="29">
        <v>0</v>
      </c>
      <c r="U97" s="29">
        <v>0</v>
      </c>
      <c r="V97" s="29">
        <v>0</v>
      </c>
      <c r="W97" s="29">
        <v>0</v>
      </c>
      <c r="X97" s="29">
        <v>0</v>
      </c>
      <c r="Y97" s="29">
        <v>0</v>
      </c>
      <c r="Z97" s="29">
        <v>0</v>
      </c>
      <c r="AA97" s="29">
        <v>0</v>
      </c>
      <c r="AB97" s="29">
        <v>0</v>
      </c>
      <c r="AC97" s="29">
        <v>0</v>
      </c>
      <c r="AD97" s="29">
        <v>0</v>
      </c>
      <c r="AE97" s="29">
        <v>0</v>
      </c>
      <c r="AF97" s="29">
        <v>0</v>
      </c>
      <c r="AG97" s="29">
        <v>0</v>
      </c>
      <c r="AH97" s="29">
        <v>0</v>
      </c>
      <c r="AI97" s="29">
        <v>0</v>
      </c>
      <c r="AJ97" s="29">
        <v>0</v>
      </c>
      <c r="AK97" s="29">
        <v>0</v>
      </c>
      <c r="AL97" s="29">
        <v>0</v>
      </c>
      <c r="AM97" s="29">
        <v>0</v>
      </c>
      <c r="AN97" s="29">
        <v>0</v>
      </c>
      <c r="AO97" s="29">
        <v>0</v>
      </c>
      <c r="AP97" s="29">
        <v>0</v>
      </c>
      <c r="AQ97" s="29">
        <v>0</v>
      </c>
      <c r="AR97" s="29">
        <v>0</v>
      </c>
      <c r="AS97" s="29">
        <v>0</v>
      </c>
      <c r="AT97" s="29">
        <v>0</v>
      </c>
      <c r="AU97" s="29">
        <v>0</v>
      </c>
      <c r="AV97" s="29">
        <v>0</v>
      </c>
      <c r="AW97" s="29">
        <v>0</v>
      </c>
      <c r="AX97" s="29">
        <v>0</v>
      </c>
      <c r="AY97" s="29">
        <v>0</v>
      </c>
      <c r="AZ97" s="29">
        <v>0</v>
      </c>
      <c r="BA97" s="29">
        <v>0</v>
      </c>
      <c r="BB97" s="29">
        <v>0</v>
      </c>
      <c r="BC97" s="29">
        <v>0</v>
      </c>
      <c r="BD97" s="180">
        <v>12540</v>
      </c>
      <c r="BE97" s="29">
        <v>0</v>
      </c>
      <c r="BF97" s="29">
        <v>105281</v>
      </c>
      <c r="BG97" s="29">
        <v>0</v>
      </c>
      <c r="BH97" s="29">
        <v>0</v>
      </c>
      <c r="BI97" s="29">
        <v>0</v>
      </c>
      <c r="BJ97" s="29">
        <v>78004</v>
      </c>
      <c r="BK97" s="29">
        <v>0</v>
      </c>
      <c r="BL97" s="29"/>
      <c r="BM97" s="29">
        <v>0</v>
      </c>
      <c r="BN97" s="29">
        <v>0</v>
      </c>
      <c r="BO97" s="29">
        <v>0</v>
      </c>
      <c r="BP97" s="29">
        <v>0</v>
      </c>
      <c r="BQ97" s="29">
        <v>0</v>
      </c>
      <c r="BR97" s="29">
        <v>0</v>
      </c>
      <c r="BS97" s="29">
        <v>0</v>
      </c>
      <c r="BT97" s="29">
        <v>0</v>
      </c>
      <c r="BU97" s="29">
        <v>0</v>
      </c>
      <c r="BV97" s="29">
        <v>0</v>
      </c>
      <c r="BW97" s="29">
        <v>141945</v>
      </c>
      <c r="BX97" s="29">
        <v>39020</v>
      </c>
      <c r="BY97" s="29">
        <v>0</v>
      </c>
      <c r="BZ97" s="29">
        <v>0</v>
      </c>
      <c r="CA97" s="29">
        <v>0</v>
      </c>
      <c r="CB97" s="29">
        <v>0</v>
      </c>
      <c r="CC97" s="29">
        <v>0</v>
      </c>
      <c r="CD97" s="29">
        <v>0</v>
      </c>
      <c r="CE97" s="29">
        <v>0</v>
      </c>
      <c r="CF97" s="29">
        <v>0</v>
      </c>
      <c r="CG97" s="29">
        <v>0</v>
      </c>
      <c r="CH97" s="29">
        <v>0</v>
      </c>
      <c r="CI97" s="29">
        <v>0</v>
      </c>
      <c r="CJ97" s="29">
        <v>0</v>
      </c>
      <c r="CK97" s="29">
        <v>0</v>
      </c>
      <c r="CL97" s="29">
        <v>100933</v>
      </c>
      <c r="CM97" s="29"/>
      <c r="CN97" s="29">
        <v>0</v>
      </c>
      <c r="CO97" s="29"/>
      <c r="CP97" s="29">
        <v>0</v>
      </c>
      <c r="CQ97" s="29">
        <v>0</v>
      </c>
      <c r="CR97" s="29">
        <v>0</v>
      </c>
      <c r="CS97" s="29">
        <v>0</v>
      </c>
      <c r="CT97" s="29">
        <v>7500</v>
      </c>
      <c r="CU97" s="361">
        <v>0</v>
      </c>
      <c r="CV97" s="189"/>
    </row>
    <row r="98" spans="1:100" ht="38.25" x14ac:dyDescent="0.2">
      <c r="A98" s="4" t="s">
        <v>1022</v>
      </c>
      <c r="B98" s="366" t="s">
        <v>1126</v>
      </c>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1"/>
      <c r="AY98" s="191"/>
      <c r="AZ98" s="191"/>
      <c r="BA98" s="191"/>
      <c r="BB98" s="191"/>
      <c r="BC98" s="191"/>
      <c r="BD98" s="192"/>
      <c r="BE98" s="191"/>
      <c r="BF98" s="191"/>
      <c r="BG98" s="191"/>
      <c r="BH98" s="191"/>
      <c r="BI98" s="191"/>
      <c r="BJ98" s="191"/>
      <c r="BK98" s="191"/>
      <c r="BL98" s="191"/>
      <c r="BM98" s="191"/>
      <c r="BN98" s="191"/>
      <c r="BO98" s="191"/>
      <c r="BP98" s="191"/>
      <c r="BQ98" s="191"/>
      <c r="BR98" s="191"/>
      <c r="BS98" s="191"/>
      <c r="BT98" s="191"/>
      <c r="BU98" s="191"/>
      <c r="BV98" s="191"/>
      <c r="BW98" s="191"/>
      <c r="BX98" s="191"/>
      <c r="BY98" s="191"/>
      <c r="BZ98" s="191"/>
      <c r="CA98" s="191"/>
      <c r="CB98" s="191"/>
      <c r="CC98" s="191"/>
      <c r="CD98" s="191"/>
      <c r="CE98" s="191"/>
      <c r="CF98" s="191"/>
      <c r="CG98" s="191"/>
      <c r="CH98" s="191"/>
      <c r="CI98" s="191"/>
      <c r="CJ98" s="191"/>
      <c r="CK98" s="191"/>
      <c r="CL98" s="191"/>
      <c r="CM98" s="191"/>
      <c r="CN98" s="191"/>
      <c r="CO98" s="191"/>
      <c r="CP98" s="191"/>
      <c r="CQ98" s="191"/>
      <c r="CR98" s="191"/>
      <c r="CS98" s="191"/>
      <c r="CT98" s="191"/>
      <c r="CU98" s="367"/>
      <c r="CV98" s="189"/>
    </row>
    <row r="99" spans="1:100" ht="38.25" x14ac:dyDescent="0.2">
      <c r="A99" s="4" t="s">
        <v>1022</v>
      </c>
      <c r="B99" s="371" t="s">
        <v>1127</v>
      </c>
      <c r="C99" s="84">
        <f>SUM(D99:DX99)</f>
        <v>1426836.87</v>
      </c>
      <c r="D99" s="29">
        <v>189427</v>
      </c>
      <c r="E99" s="29">
        <v>18330</v>
      </c>
      <c r="F99" s="29">
        <v>0</v>
      </c>
      <c r="G99" s="29">
        <v>559691</v>
      </c>
      <c r="H99" s="29">
        <v>0</v>
      </c>
      <c r="I99" s="29">
        <v>18899</v>
      </c>
      <c r="J99" s="29">
        <v>143235</v>
      </c>
      <c r="K99" s="29">
        <v>0</v>
      </c>
      <c r="L99" s="29">
        <v>0</v>
      </c>
      <c r="M99" s="29">
        <v>0</v>
      </c>
      <c r="N99" s="29">
        <v>419767</v>
      </c>
      <c r="O99" s="29">
        <v>0</v>
      </c>
      <c r="P99" s="29">
        <v>0</v>
      </c>
      <c r="Q99" s="29">
        <v>0</v>
      </c>
      <c r="R99" s="29">
        <v>0</v>
      </c>
      <c r="S99" s="29">
        <v>0</v>
      </c>
      <c r="T99" s="29">
        <v>0</v>
      </c>
      <c r="U99" s="29">
        <v>0</v>
      </c>
      <c r="V99" s="29">
        <v>0</v>
      </c>
      <c r="W99" s="29">
        <v>0</v>
      </c>
      <c r="X99" s="29">
        <v>0</v>
      </c>
      <c r="Y99" s="29">
        <v>0</v>
      </c>
      <c r="Z99" s="29">
        <v>0</v>
      </c>
      <c r="AA99" s="29">
        <v>0</v>
      </c>
      <c r="AB99" s="29">
        <v>0</v>
      </c>
      <c r="AC99" s="29">
        <v>0</v>
      </c>
      <c r="AD99" s="29">
        <v>0</v>
      </c>
      <c r="AE99" s="29">
        <v>0</v>
      </c>
      <c r="AF99" s="29">
        <v>0</v>
      </c>
      <c r="AG99" s="29">
        <v>0</v>
      </c>
      <c r="AH99" s="29">
        <v>0</v>
      </c>
      <c r="AI99" s="29">
        <v>0</v>
      </c>
      <c r="AJ99" s="29">
        <v>0</v>
      </c>
      <c r="AK99" s="29">
        <v>0</v>
      </c>
      <c r="AL99" s="29">
        <v>0</v>
      </c>
      <c r="AM99" s="29">
        <v>0</v>
      </c>
      <c r="AN99" s="29">
        <v>0</v>
      </c>
      <c r="AO99" s="29">
        <v>0</v>
      </c>
      <c r="AP99" s="29">
        <v>0</v>
      </c>
      <c r="AQ99" s="29">
        <v>0</v>
      </c>
      <c r="AR99" s="29">
        <v>0</v>
      </c>
      <c r="AS99" s="29">
        <v>0</v>
      </c>
      <c r="AT99" s="29">
        <v>0</v>
      </c>
      <c r="AU99" s="29">
        <v>0</v>
      </c>
      <c r="AV99" s="29">
        <v>0</v>
      </c>
      <c r="AW99" s="29">
        <v>0</v>
      </c>
      <c r="AX99" s="29">
        <v>0</v>
      </c>
      <c r="AY99" s="29">
        <v>0</v>
      </c>
      <c r="AZ99" s="29">
        <v>0</v>
      </c>
      <c r="BA99" s="29">
        <v>0</v>
      </c>
      <c r="BB99" s="29">
        <v>0</v>
      </c>
      <c r="BC99" s="29">
        <v>0</v>
      </c>
      <c r="BD99" s="180">
        <v>0</v>
      </c>
      <c r="BE99" s="29">
        <v>0</v>
      </c>
      <c r="BF99" s="29">
        <v>0</v>
      </c>
      <c r="BG99" s="29">
        <v>0</v>
      </c>
      <c r="BH99" s="29">
        <v>0</v>
      </c>
      <c r="BI99" s="29">
        <v>0</v>
      </c>
      <c r="BJ99" s="29">
        <v>0</v>
      </c>
      <c r="BK99" s="29">
        <v>0</v>
      </c>
      <c r="BL99" s="29">
        <v>0</v>
      </c>
      <c r="BM99" s="29">
        <v>0</v>
      </c>
      <c r="BN99" s="29">
        <v>0</v>
      </c>
      <c r="BO99" s="29">
        <v>0</v>
      </c>
      <c r="BP99" s="29">
        <v>0</v>
      </c>
      <c r="BQ99" s="29">
        <v>0</v>
      </c>
      <c r="BR99" s="29">
        <v>0</v>
      </c>
      <c r="BS99" s="29">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76466.87</v>
      </c>
      <c r="CN99" s="29">
        <v>0</v>
      </c>
      <c r="CO99" s="29">
        <v>0</v>
      </c>
      <c r="CP99" s="29">
        <v>0</v>
      </c>
      <c r="CQ99" s="29">
        <v>0</v>
      </c>
      <c r="CR99" s="29">
        <v>1021</v>
      </c>
      <c r="CS99" s="29">
        <v>0</v>
      </c>
      <c r="CT99" s="29">
        <v>0</v>
      </c>
      <c r="CU99" s="361">
        <v>0</v>
      </c>
      <c r="CV99" s="189"/>
    </row>
    <row r="100" spans="1:100" ht="38.25" x14ac:dyDescent="0.2">
      <c r="A100" s="4" t="s">
        <v>1022</v>
      </c>
      <c r="B100" s="371" t="s">
        <v>1128</v>
      </c>
      <c r="C100" s="84">
        <f>SUM(D100:DX100)</f>
        <v>1462291</v>
      </c>
      <c r="D100" s="29">
        <v>189427</v>
      </c>
      <c r="E100" s="29">
        <v>0</v>
      </c>
      <c r="F100" s="29">
        <v>0</v>
      </c>
      <c r="G100" s="29">
        <v>559693</v>
      </c>
      <c r="H100" s="29">
        <v>0</v>
      </c>
      <c r="I100" s="29">
        <v>0</v>
      </c>
      <c r="J100" s="29">
        <v>0</v>
      </c>
      <c r="K100" s="29">
        <v>0</v>
      </c>
      <c r="L100" s="29">
        <v>0</v>
      </c>
      <c r="M100" s="29">
        <v>0</v>
      </c>
      <c r="N100" s="29">
        <v>419767</v>
      </c>
      <c r="O100" s="29">
        <v>0</v>
      </c>
      <c r="P100" s="29">
        <v>0</v>
      </c>
      <c r="Q100" s="29">
        <v>0</v>
      </c>
      <c r="R100" s="29">
        <v>0</v>
      </c>
      <c r="S100" s="29">
        <v>0</v>
      </c>
      <c r="T100" s="29">
        <v>0</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180">
        <v>293404</v>
      </c>
      <c r="BE100" s="29">
        <v>0</v>
      </c>
      <c r="BF100" s="29">
        <v>0</v>
      </c>
      <c r="BG100" s="29">
        <v>0</v>
      </c>
      <c r="BH100" s="29">
        <v>0</v>
      </c>
      <c r="BI100" s="29">
        <v>0</v>
      </c>
      <c r="BJ100" s="29">
        <v>0</v>
      </c>
      <c r="BK100" s="29">
        <v>0</v>
      </c>
      <c r="BL100" s="29">
        <v>0</v>
      </c>
      <c r="BM100" s="29">
        <v>0</v>
      </c>
      <c r="BN100" s="29">
        <v>0</v>
      </c>
      <c r="BO100" s="29">
        <v>0</v>
      </c>
      <c r="BP100" s="29">
        <v>0</v>
      </c>
      <c r="BQ100" s="29">
        <v>0</v>
      </c>
      <c r="BR100" s="29">
        <v>0</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29">
        <v>0</v>
      </c>
      <c r="CU100" s="361">
        <v>0</v>
      </c>
      <c r="CV100" s="189"/>
    </row>
    <row r="101" spans="1:100" ht="38.25" x14ac:dyDescent="0.2">
      <c r="A101" s="4" t="s">
        <v>1022</v>
      </c>
      <c r="B101" s="366" t="s">
        <v>1129</v>
      </c>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1"/>
      <c r="BB101" s="191"/>
      <c r="BC101" s="191"/>
      <c r="BD101" s="192"/>
      <c r="BE101" s="191"/>
      <c r="BF101" s="191"/>
      <c r="BG101" s="191"/>
      <c r="BH101" s="191"/>
      <c r="BI101" s="191"/>
      <c r="BJ101" s="191"/>
      <c r="BK101" s="191"/>
      <c r="BL101" s="191"/>
      <c r="BM101" s="191"/>
      <c r="BN101" s="191"/>
      <c r="BO101" s="191"/>
      <c r="BP101" s="191"/>
      <c r="BQ101" s="191"/>
      <c r="BR101" s="191"/>
      <c r="BS101" s="191"/>
      <c r="BT101" s="191"/>
      <c r="BU101" s="191"/>
      <c r="BV101" s="191"/>
      <c r="BW101" s="191"/>
      <c r="BX101" s="191"/>
      <c r="BY101" s="191"/>
      <c r="BZ101" s="191"/>
      <c r="CA101" s="191"/>
      <c r="CB101" s="191"/>
      <c r="CC101" s="191"/>
      <c r="CD101" s="191"/>
      <c r="CE101" s="191"/>
      <c r="CF101" s="191"/>
      <c r="CG101" s="191"/>
      <c r="CH101" s="191"/>
      <c r="CI101" s="191"/>
      <c r="CJ101" s="191"/>
      <c r="CK101" s="191"/>
      <c r="CL101" s="191"/>
      <c r="CM101" s="191"/>
      <c r="CN101" s="191"/>
      <c r="CO101" s="191"/>
      <c r="CP101" s="191"/>
      <c r="CQ101" s="191"/>
      <c r="CR101" s="191"/>
      <c r="CS101" s="191"/>
      <c r="CT101" s="191"/>
      <c r="CU101" s="367"/>
      <c r="CV101" s="189"/>
    </row>
    <row r="102" spans="1:100" ht="38.25" x14ac:dyDescent="0.2">
      <c r="A102" s="4" t="s">
        <v>1022</v>
      </c>
      <c r="B102" s="371" t="s">
        <v>1130</v>
      </c>
      <c r="C102" s="84">
        <f>SUM(D102:DX102)</f>
        <v>9904981.5700000003</v>
      </c>
      <c r="D102" s="29">
        <v>90999.45</v>
      </c>
      <c r="E102" s="29">
        <v>6082</v>
      </c>
      <c r="F102" s="29">
        <v>0</v>
      </c>
      <c r="G102" s="29">
        <v>1681300</v>
      </c>
      <c r="H102" s="29">
        <v>1457413.49</v>
      </c>
      <c r="I102" s="29">
        <v>0</v>
      </c>
      <c r="J102" s="29">
        <v>2972022.04</v>
      </c>
      <c r="K102" s="29">
        <v>0</v>
      </c>
      <c r="L102" s="29">
        <v>0</v>
      </c>
      <c r="M102" s="29">
        <v>14933.11</v>
      </c>
      <c r="N102" s="29">
        <v>512152</v>
      </c>
      <c r="O102" s="29">
        <v>0</v>
      </c>
      <c r="P102" s="29">
        <v>0</v>
      </c>
      <c r="Q102" s="29">
        <v>0</v>
      </c>
      <c r="R102" s="29">
        <v>0</v>
      </c>
      <c r="S102" s="29">
        <v>0</v>
      </c>
      <c r="T102" s="29">
        <v>0</v>
      </c>
      <c r="U102" s="29">
        <v>0</v>
      </c>
      <c r="V102" s="29">
        <v>0</v>
      </c>
      <c r="W102" s="29">
        <v>0</v>
      </c>
      <c r="X102" s="29">
        <v>0</v>
      </c>
      <c r="Y102" s="29">
        <v>0</v>
      </c>
      <c r="Z102" s="29">
        <v>0</v>
      </c>
      <c r="AA102" s="29">
        <v>0</v>
      </c>
      <c r="AB102" s="29">
        <v>0</v>
      </c>
      <c r="AC102" s="29">
        <v>0</v>
      </c>
      <c r="AD102" s="29">
        <v>0</v>
      </c>
      <c r="AE102" s="29">
        <v>43700</v>
      </c>
      <c r="AF102" s="29">
        <v>0</v>
      </c>
      <c r="AG102" s="29">
        <v>0</v>
      </c>
      <c r="AH102" s="29">
        <v>0</v>
      </c>
      <c r="AI102" s="29">
        <v>0</v>
      </c>
      <c r="AJ102" s="29">
        <v>0</v>
      </c>
      <c r="AK102" s="29">
        <v>0</v>
      </c>
      <c r="AL102" s="29">
        <v>0</v>
      </c>
      <c r="AM102" s="29">
        <v>0</v>
      </c>
      <c r="AN102" s="29">
        <v>0</v>
      </c>
      <c r="AO102" s="29">
        <v>0</v>
      </c>
      <c r="AP102" s="29">
        <v>0</v>
      </c>
      <c r="AQ102" s="29">
        <v>0</v>
      </c>
      <c r="AR102" s="29">
        <v>0</v>
      </c>
      <c r="AS102" s="29">
        <v>0</v>
      </c>
      <c r="AT102" s="29">
        <v>0</v>
      </c>
      <c r="AU102" s="29">
        <v>0</v>
      </c>
      <c r="AV102" s="29">
        <v>0</v>
      </c>
      <c r="AW102" s="29">
        <v>0</v>
      </c>
      <c r="AX102" s="29">
        <v>0</v>
      </c>
      <c r="AY102" s="29">
        <v>0</v>
      </c>
      <c r="AZ102" s="29">
        <v>0</v>
      </c>
      <c r="BA102" s="29">
        <v>0</v>
      </c>
      <c r="BB102" s="29">
        <v>30156</v>
      </c>
      <c r="BC102" s="29">
        <v>0</v>
      </c>
      <c r="BD102" s="180">
        <v>84605.48</v>
      </c>
      <c r="BE102" s="29">
        <v>0</v>
      </c>
      <c r="BF102" s="29">
        <v>212348</v>
      </c>
      <c r="BG102" s="29">
        <v>0</v>
      </c>
      <c r="BH102" s="29">
        <v>0</v>
      </c>
      <c r="BI102" s="29">
        <v>0</v>
      </c>
      <c r="BJ102" s="29">
        <v>0</v>
      </c>
      <c r="BK102" s="29">
        <v>0</v>
      </c>
      <c r="BL102" s="29">
        <v>0</v>
      </c>
      <c r="BM102" s="29">
        <v>0</v>
      </c>
      <c r="BN102" s="29">
        <v>0</v>
      </c>
      <c r="BO102" s="29">
        <v>0</v>
      </c>
      <c r="BP102" s="29">
        <v>0</v>
      </c>
      <c r="BQ102" s="29">
        <v>0</v>
      </c>
      <c r="BR102" s="29">
        <v>0</v>
      </c>
      <c r="BS102" s="29">
        <v>0</v>
      </c>
      <c r="BT102" s="29">
        <v>0</v>
      </c>
      <c r="BU102" s="29">
        <v>0</v>
      </c>
      <c r="BV102" s="29">
        <v>0</v>
      </c>
      <c r="BW102" s="29">
        <v>286298</v>
      </c>
      <c r="BX102" s="29">
        <v>78701</v>
      </c>
      <c r="BY102" s="29">
        <v>0</v>
      </c>
      <c r="BZ102" s="29">
        <v>0</v>
      </c>
      <c r="CA102" s="29">
        <v>0</v>
      </c>
      <c r="CB102" s="29">
        <v>0</v>
      </c>
      <c r="CC102" s="29">
        <v>0</v>
      </c>
      <c r="CD102" s="29">
        <v>110095</v>
      </c>
      <c r="CE102" s="29">
        <v>0</v>
      </c>
      <c r="CF102" s="29">
        <v>0</v>
      </c>
      <c r="CG102" s="29">
        <v>0</v>
      </c>
      <c r="CH102" s="29">
        <v>236662</v>
      </c>
      <c r="CI102" s="29">
        <v>675671</v>
      </c>
      <c r="CJ102" s="29">
        <v>1411843</v>
      </c>
      <c r="CK102" s="29">
        <v>0</v>
      </c>
      <c r="CL102" s="29">
        <v>0</v>
      </c>
      <c r="CM102" s="29">
        <v>0</v>
      </c>
      <c r="CN102" s="29">
        <v>0</v>
      </c>
      <c r="CO102" s="29">
        <v>0</v>
      </c>
      <c r="CP102" s="29">
        <v>0</v>
      </c>
      <c r="CQ102" s="29">
        <v>0</v>
      </c>
      <c r="CR102" s="29">
        <v>0</v>
      </c>
      <c r="CS102" s="29">
        <v>0</v>
      </c>
      <c r="CT102" s="29">
        <v>0</v>
      </c>
      <c r="CU102" s="361">
        <v>0</v>
      </c>
      <c r="CV102" s="189"/>
    </row>
    <row r="103" spans="1:100" ht="38.25" x14ac:dyDescent="0.2">
      <c r="A103" s="4" t="s">
        <v>1022</v>
      </c>
      <c r="B103" s="371" t="s">
        <v>1131</v>
      </c>
      <c r="C103" s="84">
        <f>SUM(D103:DX103)</f>
        <v>962577.97</v>
      </c>
      <c r="D103" s="29">
        <v>0</v>
      </c>
      <c r="E103" s="29">
        <v>0</v>
      </c>
      <c r="F103" s="29">
        <v>0</v>
      </c>
      <c r="G103" s="29">
        <f>382167+5335</f>
        <v>387502</v>
      </c>
      <c r="H103" s="29">
        <v>0</v>
      </c>
      <c r="I103" s="29">
        <v>0</v>
      </c>
      <c r="J103" s="29">
        <v>0</v>
      </c>
      <c r="K103" s="29">
        <v>0</v>
      </c>
      <c r="L103" s="29">
        <v>0</v>
      </c>
      <c r="M103" s="29">
        <v>0</v>
      </c>
      <c r="N103" s="29">
        <f>313496+2510+127170.72+17975.25</f>
        <v>461151.97</v>
      </c>
      <c r="O103" s="29">
        <v>0</v>
      </c>
      <c r="P103" s="29">
        <v>0</v>
      </c>
      <c r="Q103" s="29">
        <v>0</v>
      </c>
      <c r="R103" s="29">
        <v>0</v>
      </c>
      <c r="S103" s="29">
        <v>0</v>
      </c>
      <c r="T103" s="29">
        <v>0</v>
      </c>
      <c r="U103" s="29">
        <v>0</v>
      </c>
      <c r="V103" s="29">
        <v>0</v>
      </c>
      <c r="W103" s="29">
        <v>0</v>
      </c>
      <c r="X103" s="29">
        <v>0</v>
      </c>
      <c r="Y103" s="29">
        <v>0</v>
      </c>
      <c r="Z103" s="29">
        <v>0</v>
      </c>
      <c r="AA103" s="29">
        <v>0</v>
      </c>
      <c r="AB103" s="29">
        <v>0</v>
      </c>
      <c r="AC103" s="29">
        <v>0</v>
      </c>
      <c r="AD103" s="29">
        <v>0</v>
      </c>
      <c r="AE103" s="29">
        <v>54690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180">
        <v>25956</v>
      </c>
      <c r="BE103" s="29">
        <v>0</v>
      </c>
      <c r="BF103" s="29">
        <v>0</v>
      </c>
      <c r="BG103" s="29">
        <v>0</v>
      </c>
      <c r="BH103" s="29">
        <v>0</v>
      </c>
      <c r="BI103" s="29">
        <v>0</v>
      </c>
      <c r="BJ103" s="29">
        <v>0</v>
      </c>
      <c r="BK103" s="29">
        <v>0</v>
      </c>
      <c r="BL103" s="29">
        <v>0</v>
      </c>
      <c r="BM103" s="29">
        <v>0</v>
      </c>
      <c r="BN103" s="29">
        <v>0</v>
      </c>
      <c r="BO103" s="29">
        <v>33278</v>
      </c>
      <c r="BP103" s="29">
        <v>0</v>
      </c>
      <c r="BQ103" s="29">
        <v>0</v>
      </c>
      <c r="BR103" s="29">
        <v>0</v>
      </c>
      <c r="BS103" s="29">
        <v>0</v>
      </c>
      <c r="BT103" s="29">
        <v>0</v>
      </c>
      <c r="BU103" s="29">
        <v>0</v>
      </c>
      <c r="BV103" s="29">
        <v>0</v>
      </c>
      <c r="BW103" s="29">
        <v>0</v>
      </c>
      <c r="BX103" s="29">
        <v>0</v>
      </c>
      <c r="BY103" s="29">
        <v>0</v>
      </c>
      <c r="BZ103" s="29"/>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361">
        <v>0</v>
      </c>
      <c r="CV103" s="189"/>
    </row>
    <row r="104" spans="1:100" ht="38.25" x14ac:dyDescent="0.2">
      <c r="A104" s="4" t="s">
        <v>1022</v>
      </c>
      <c r="B104" s="371" t="s">
        <v>1132</v>
      </c>
      <c r="C104" s="84">
        <f>SUM(D104:DX104)</f>
        <v>322005</v>
      </c>
      <c r="D104" s="29">
        <v>0</v>
      </c>
      <c r="E104" s="29">
        <v>602</v>
      </c>
      <c r="F104" s="29">
        <v>0</v>
      </c>
      <c r="G104" s="29">
        <v>164570</v>
      </c>
      <c r="H104" s="29">
        <v>0</v>
      </c>
      <c r="I104" s="29">
        <v>0</v>
      </c>
      <c r="J104" s="29">
        <v>0</v>
      </c>
      <c r="K104" s="29">
        <v>0</v>
      </c>
      <c r="L104" s="29">
        <v>0</v>
      </c>
      <c r="M104" s="29">
        <v>0</v>
      </c>
      <c r="N104" s="29">
        <f>36862</f>
        <v>36862</v>
      </c>
      <c r="O104" s="29">
        <v>0</v>
      </c>
      <c r="P104" s="29">
        <v>0</v>
      </c>
      <c r="Q104" s="29">
        <v>0</v>
      </c>
      <c r="R104" s="29">
        <v>0</v>
      </c>
      <c r="S104" s="29">
        <v>0</v>
      </c>
      <c r="T104" s="29">
        <v>0</v>
      </c>
      <c r="U104" s="29">
        <v>0</v>
      </c>
      <c r="V104" s="29">
        <v>0</v>
      </c>
      <c r="W104" s="29">
        <v>0</v>
      </c>
      <c r="X104" s="29">
        <v>0</v>
      </c>
      <c r="Y104" s="29">
        <v>0</v>
      </c>
      <c r="Z104" s="29">
        <v>0</v>
      </c>
      <c r="AA104" s="29">
        <v>0</v>
      </c>
      <c r="AB104" s="29">
        <v>0</v>
      </c>
      <c r="AC104" s="29">
        <v>0</v>
      </c>
      <c r="AD104" s="29">
        <v>0</v>
      </c>
      <c r="AE104" s="29">
        <v>0</v>
      </c>
      <c r="AF104" s="29">
        <v>0</v>
      </c>
      <c r="AG104" s="29">
        <v>0</v>
      </c>
      <c r="AH104" s="29">
        <v>0</v>
      </c>
      <c r="AI104" s="29">
        <v>0</v>
      </c>
      <c r="AJ104" s="29">
        <v>0</v>
      </c>
      <c r="AK104" s="29">
        <v>0</v>
      </c>
      <c r="AL104" s="29">
        <v>0</v>
      </c>
      <c r="AM104" s="29">
        <v>0</v>
      </c>
      <c r="AN104" s="29">
        <v>0</v>
      </c>
      <c r="AO104" s="29">
        <v>0</v>
      </c>
      <c r="AP104" s="29">
        <v>0</v>
      </c>
      <c r="AQ104" s="29">
        <v>0</v>
      </c>
      <c r="AR104" s="29">
        <v>0</v>
      </c>
      <c r="AS104" s="29">
        <v>0</v>
      </c>
      <c r="AT104" s="29">
        <v>0</v>
      </c>
      <c r="AU104" s="29">
        <v>0</v>
      </c>
      <c r="AV104" s="29">
        <v>0</v>
      </c>
      <c r="AW104" s="29">
        <v>0</v>
      </c>
      <c r="AX104" s="29">
        <v>0</v>
      </c>
      <c r="AY104" s="29">
        <v>0</v>
      </c>
      <c r="AZ104" s="29">
        <v>0</v>
      </c>
      <c r="BA104" s="29">
        <v>0</v>
      </c>
      <c r="BB104" s="29">
        <v>0</v>
      </c>
      <c r="BC104" s="29">
        <v>0</v>
      </c>
      <c r="BD104" s="180">
        <v>0</v>
      </c>
      <c r="BE104" s="29">
        <v>0</v>
      </c>
      <c r="BF104" s="29">
        <v>21019</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28339</v>
      </c>
      <c r="BX104" s="29">
        <v>7790</v>
      </c>
      <c r="BY104" s="29">
        <v>0</v>
      </c>
      <c r="BZ104" s="29">
        <v>0</v>
      </c>
      <c r="CA104" s="29">
        <v>0</v>
      </c>
      <c r="CB104" s="29">
        <v>0</v>
      </c>
      <c r="CC104" s="29">
        <v>0</v>
      </c>
      <c r="CD104" s="29">
        <v>0</v>
      </c>
      <c r="CE104" s="29">
        <v>0</v>
      </c>
      <c r="CF104" s="29">
        <v>0</v>
      </c>
      <c r="CG104" s="29">
        <v>0</v>
      </c>
      <c r="CH104" s="29">
        <v>0</v>
      </c>
      <c r="CI104" s="29">
        <v>0</v>
      </c>
      <c r="CJ104" s="29">
        <v>0</v>
      </c>
      <c r="CK104" s="29">
        <v>0</v>
      </c>
      <c r="CL104" s="29">
        <v>0</v>
      </c>
      <c r="CM104" s="29">
        <v>0</v>
      </c>
      <c r="CN104" s="29">
        <v>0</v>
      </c>
      <c r="CO104" s="29">
        <v>0</v>
      </c>
      <c r="CP104" s="29">
        <v>62823</v>
      </c>
      <c r="CQ104" s="29">
        <v>0</v>
      </c>
      <c r="CR104" s="29">
        <v>0</v>
      </c>
      <c r="CS104" s="29">
        <v>0</v>
      </c>
      <c r="CT104" s="29">
        <v>0</v>
      </c>
      <c r="CU104" s="361">
        <v>0</v>
      </c>
      <c r="CV104" s="189"/>
    </row>
    <row r="105" spans="1:100" ht="38.25" x14ac:dyDescent="0.2">
      <c r="A105" s="4" t="s">
        <v>1022</v>
      </c>
      <c r="B105" s="371" t="s">
        <v>1133</v>
      </c>
      <c r="C105" s="84">
        <f>SUM(D105:DX105)</f>
        <v>418644.3</v>
      </c>
      <c r="D105" s="29">
        <v>0</v>
      </c>
      <c r="E105" s="29">
        <v>443</v>
      </c>
      <c r="F105" s="29">
        <v>0</v>
      </c>
      <c r="G105" s="29">
        <v>234433</v>
      </c>
      <c r="H105" s="29">
        <v>0</v>
      </c>
      <c r="I105" s="29">
        <v>0</v>
      </c>
      <c r="J105" s="29">
        <v>0</v>
      </c>
      <c r="K105" s="29">
        <v>0</v>
      </c>
      <c r="L105" s="29">
        <v>0</v>
      </c>
      <c r="M105" s="29">
        <v>17295.43</v>
      </c>
      <c r="N105" s="29">
        <f>29563+27097+33594.95</f>
        <v>90254.95</v>
      </c>
      <c r="O105" s="29">
        <v>0</v>
      </c>
      <c r="P105" s="29">
        <v>0</v>
      </c>
      <c r="Q105" s="29">
        <v>0</v>
      </c>
      <c r="R105" s="29">
        <v>0</v>
      </c>
      <c r="S105" s="29">
        <v>0</v>
      </c>
      <c r="T105" s="29">
        <v>0</v>
      </c>
      <c r="U105" s="29">
        <v>0</v>
      </c>
      <c r="V105" s="29">
        <v>0</v>
      </c>
      <c r="W105" s="29">
        <v>0</v>
      </c>
      <c r="X105" s="29">
        <v>0</v>
      </c>
      <c r="Y105" s="29">
        <v>0</v>
      </c>
      <c r="Z105" s="29">
        <v>0</v>
      </c>
      <c r="AA105" s="29">
        <v>0</v>
      </c>
      <c r="AB105" s="29">
        <v>0</v>
      </c>
      <c r="AC105" s="29">
        <v>0</v>
      </c>
      <c r="AD105" s="29">
        <v>0</v>
      </c>
      <c r="AE105" s="29">
        <v>8858.92</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0</v>
      </c>
      <c r="AU105" s="29">
        <v>0</v>
      </c>
      <c r="AV105" s="29">
        <v>0</v>
      </c>
      <c r="AW105" s="29">
        <v>0</v>
      </c>
      <c r="AX105" s="29">
        <v>0</v>
      </c>
      <c r="AY105" s="29">
        <v>0</v>
      </c>
      <c r="AZ105" s="29">
        <v>0</v>
      </c>
      <c r="BA105" s="29">
        <v>0</v>
      </c>
      <c r="BB105" s="29">
        <v>0</v>
      </c>
      <c r="BC105" s="29">
        <v>0</v>
      </c>
      <c r="BD105" s="180">
        <v>25351</v>
      </c>
      <c r="BE105" s="29">
        <v>0</v>
      </c>
      <c r="BF105" s="29">
        <v>15451</v>
      </c>
      <c r="BG105" s="29">
        <v>0</v>
      </c>
      <c r="BH105" s="29"/>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20831</v>
      </c>
      <c r="BX105" s="29">
        <v>5726</v>
      </c>
      <c r="BY105" s="29">
        <v>0</v>
      </c>
      <c r="BZ105" s="29">
        <v>0</v>
      </c>
      <c r="CA105" s="29">
        <v>0</v>
      </c>
      <c r="CB105" s="29">
        <v>0</v>
      </c>
      <c r="CC105" s="29">
        <v>0</v>
      </c>
      <c r="CD105" s="29">
        <v>0</v>
      </c>
      <c r="CE105" s="29">
        <v>0</v>
      </c>
      <c r="CF105" s="29">
        <v>0</v>
      </c>
      <c r="CG105" s="29">
        <v>0</v>
      </c>
      <c r="CH105" s="29">
        <v>0</v>
      </c>
      <c r="CI105" s="29">
        <v>0</v>
      </c>
      <c r="CJ105" s="29">
        <v>0</v>
      </c>
      <c r="CK105" s="29">
        <v>0</v>
      </c>
      <c r="CL105" s="29">
        <v>0</v>
      </c>
      <c r="CM105" s="29">
        <v>0</v>
      </c>
      <c r="CN105" s="29">
        <v>0</v>
      </c>
      <c r="CO105" s="29">
        <v>0</v>
      </c>
      <c r="CP105" s="29">
        <v>0</v>
      </c>
      <c r="CQ105" s="29">
        <v>0</v>
      </c>
      <c r="CR105" s="29">
        <v>0</v>
      </c>
      <c r="CS105" s="29">
        <v>0</v>
      </c>
      <c r="CT105" s="29">
        <v>0</v>
      </c>
      <c r="CU105" s="361">
        <v>0</v>
      </c>
      <c r="CV105" s="189"/>
    </row>
    <row r="106" spans="1:100" ht="76.5" x14ac:dyDescent="0.2">
      <c r="A106" s="4" t="s">
        <v>1061</v>
      </c>
      <c r="B106" s="372" t="s">
        <v>1134</v>
      </c>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4"/>
      <c r="BE106" s="193"/>
      <c r="BF106" s="193"/>
      <c r="BG106" s="193"/>
      <c r="BH106" s="193"/>
      <c r="BI106" s="193"/>
      <c r="BJ106" s="193"/>
      <c r="BK106" s="193"/>
      <c r="BL106" s="193"/>
      <c r="BM106" s="193"/>
      <c r="BN106" s="193"/>
      <c r="BO106" s="193"/>
      <c r="BP106" s="193"/>
      <c r="BQ106" s="193"/>
      <c r="BR106" s="193"/>
      <c r="BS106" s="193"/>
      <c r="BT106" s="193"/>
      <c r="BU106" s="193"/>
      <c r="BV106" s="193"/>
      <c r="BW106" s="193"/>
      <c r="BX106" s="193"/>
      <c r="BY106" s="193"/>
      <c r="BZ106" s="193"/>
      <c r="CA106" s="193"/>
      <c r="CB106" s="193"/>
      <c r="CC106" s="193"/>
      <c r="CD106" s="193"/>
      <c r="CE106" s="193"/>
      <c r="CF106" s="193"/>
      <c r="CG106" s="193"/>
      <c r="CH106" s="193"/>
      <c r="CI106" s="193"/>
      <c r="CJ106" s="193"/>
      <c r="CK106" s="193"/>
      <c r="CL106" s="193"/>
      <c r="CM106" s="193"/>
      <c r="CN106" s="193"/>
      <c r="CO106" s="193"/>
      <c r="CP106" s="193"/>
      <c r="CQ106" s="193"/>
      <c r="CR106" s="193"/>
      <c r="CS106" s="193"/>
      <c r="CT106" s="193"/>
      <c r="CU106" s="365"/>
      <c r="CV106" s="189"/>
    </row>
    <row r="107" spans="1:100" ht="51" x14ac:dyDescent="0.2">
      <c r="A107" s="4" t="s">
        <v>1018</v>
      </c>
      <c r="B107" s="373" t="s">
        <v>1135</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1"/>
      <c r="BB107" s="191"/>
      <c r="BC107" s="191"/>
      <c r="BD107" s="192"/>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367"/>
      <c r="CV107" s="189"/>
    </row>
    <row r="108" spans="1:100" ht="63" customHeight="1" x14ac:dyDescent="0.2">
      <c r="A108" s="4" t="s">
        <v>1018</v>
      </c>
      <c r="B108" s="369" t="s">
        <v>1136</v>
      </c>
      <c r="C108" s="84">
        <f>SUM(D108:DX108)</f>
        <v>1320162.81</v>
      </c>
      <c r="D108" s="29">
        <v>83206.880000000005</v>
      </c>
      <c r="E108" s="29">
        <v>0</v>
      </c>
      <c r="F108" s="29">
        <v>0</v>
      </c>
      <c r="G108" s="29">
        <v>204929.93</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1032026</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180">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361">
        <v>0</v>
      </c>
      <c r="CV108" s="189"/>
    </row>
    <row r="109" spans="1:100" ht="38.25" x14ac:dyDescent="0.2">
      <c r="A109" s="4" t="s">
        <v>1018</v>
      </c>
      <c r="B109" s="369" t="s">
        <v>1137</v>
      </c>
      <c r="C109" s="84">
        <f>SUM(D109:DX109)</f>
        <v>993056.93</v>
      </c>
      <c r="D109" s="29">
        <v>0</v>
      </c>
      <c r="E109" s="29">
        <v>81498</v>
      </c>
      <c r="F109" s="29">
        <v>0</v>
      </c>
      <c r="G109" s="29">
        <v>0</v>
      </c>
      <c r="H109" s="29">
        <v>0</v>
      </c>
      <c r="I109" s="29">
        <v>0</v>
      </c>
      <c r="J109" s="29">
        <v>0</v>
      </c>
      <c r="K109" s="29">
        <v>0</v>
      </c>
      <c r="L109" s="29">
        <v>0</v>
      </c>
      <c r="M109" s="29">
        <v>0</v>
      </c>
      <c r="N109" s="29">
        <v>788814.54</v>
      </c>
      <c r="O109" s="29">
        <v>0</v>
      </c>
      <c r="P109" s="29">
        <v>0</v>
      </c>
      <c r="Q109" s="29">
        <v>0</v>
      </c>
      <c r="R109" s="29">
        <v>0</v>
      </c>
      <c r="S109" s="29">
        <v>0</v>
      </c>
      <c r="T109" s="29">
        <v>0</v>
      </c>
      <c r="U109" s="29">
        <v>0</v>
      </c>
      <c r="V109" s="29">
        <v>0</v>
      </c>
      <c r="W109" s="29">
        <v>0</v>
      </c>
      <c r="X109" s="29">
        <v>0</v>
      </c>
      <c r="Y109" s="29">
        <v>0</v>
      </c>
      <c r="Z109" s="29">
        <v>0</v>
      </c>
      <c r="AA109" s="29">
        <v>0</v>
      </c>
      <c r="AB109" s="29">
        <v>0</v>
      </c>
      <c r="AC109" s="29">
        <v>0</v>
      </c>
      <c r="AD109" s="29">
        <v>0</v>
      </c>
      <c r="AE109" s="29">
        <v>0</v>
      </c>
      <c r="AF109" s="29">
        <v>0</v>
      </c>
      <c r="AG109" s="29">
        <v>51836.13</v>
      </c>
      <c r="AH109" s="29">
        <v>55494</v>
      </c>
      <c r="AI109" s="29">
        <v>0</v>
      </c>
      <c r="AJ109" s="29">
        <v>0</v>
      </c>
      <c r="AK109" s="29">
        <v>8201.26</v>
      </c>
      <c r="AL109" s="29">
        <v>0</v>
      </c>
      <c r="AM109" s="29">
        <v>0</v>
      </c>
      <c r="AN109" s="29">
        <v>0</v>
      </c>
      <c r="AO109" s="29">
        <v>0</v>
      </c>
      <c r="AP109" s="29">
        <v>0</v>
      </c>
      <c r="AQ109" s="29">
        <v>0</v>
      </c>
      <c r="AR109" s="29">
        <v>0</v>
      </c>
      <c r="AS109" s="29">
        <v>0</v>
      </c>
      <c r="AT109" s="29">
        <v>0</v>
      </c>
      <c r="AU109" s="29">
        <v>0</v>
      </c>
      <c r="AV109" s="29">
        <v>0</v>
      </c>
      <c r="AW109" s="29">
        <v>0</v>
      </c>
      <c r="AX109" s="29">
        <v>0</v>
      </c>
      <c r="AY109" s="29">
        <v>0</v>
      </c>
      <c r="AZ109" s="29">
        <v>0</v>
      </c>
      <c r="BA109" s="29">
        <v>7213</v>
      </c>
      <c r="BB109" s="29">
        <v>0</v>
      </c>
      <c r="BC109" s="29">
        <v>0</v>
      </c>
      <c r="BD109" s="180">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361">
        <v>0</v>
      </c>
      <c r="CV109" s="189"/>
    </row>
    <row r="110" spans="1:100" ht="75" customHeight="1" x14ac:dyDescent="0.2">
      <c r="A110" s="4" t="s">
        <v>1018</v>
      </c>
      <c r="B110" s="373" t="s">
        <v>1138</v>
      </c>
      <c r="C110" s="191"/>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1"/>
      <c r="AZ110" s="191"/>
      <c r="BA110" s="191"/>
      <c r="BB110" s="191"/>
      <c r="BC110" s="191"/>
      <c r="BD110" s="192"/>
      <c r="BE110" s="191"/>
      <c r="BF110" s="191"/>
      <c r="BG110" s="191"/>
      <c r="BH110" s="191"/>
      <c r="BI110" s="191"/>
      <c r="BJ110" s="191"/>
      <c r="BK110" s="191"/>
      <c r="BL110" s="191"/>
      <c r="BM110" s="191"/>
      <c r="BN110" s="191"/>
      <c r="BO110" s="191"/>
      <c r="BP110" s="191"/>
      <c r="BQ110" s="191"/>
      <c r="BR110" s="191"/>
      <c r="BS110" s="191"/>
      <c r="BT110" s="191"/>
      <c r="BU110" s="191"/>
      <c r="BV110" s="191"/>
      <c r="BW110" s="191"/>
      <c r="BX110" s="191"/>
      <c r="BY110" s="191"/>
      <c r="BZ110" s="191"/>
      <c r="CA110" s="191"/>
      <c r="CB110" s="191"/>
      <c r="CC110" s="191"/>
      <c r="CD110" s="191"/>
      <c r="CE110" s="191"/>
      <c r="CF110" s="191"/>
      <c r="CG110" s="191"/>
      <c r="CH110" s="191"/>
      <c r="CI110" s="191"/>
      <c r="CJ110" s="191"/>
      <c r="CK110" s="191"/>
      <c r="CL110" s="191"/>
      <c r="CM110" s="191"/>
      <c r="CN110" s="191"/>
      <c r="CO110" s="191"/>
      <c r="CP110" s="191"/>
      <c r="CQ110" s="191"/>
      <c r="CR110" s="191"/>
      <c r="CS110" s="191"/>
      <c r="CT110" s="191"/>
      <c r="CU110" s="367"/>
      <c r="CV110" s="189"/>
    </row>
    <row r="111" spans="1:100" ht="84.75" customHeight="1" x14ac:dyDescent="0.2">
      <c r="A111" s="4" t="s">
        <v>1018</v>
      </c>
      <c r="B111" s="369" t="s">
        <v>1139</v>
      </c>
      <c r="C111" s="84">
        <f>SUM(D111:DX111)</f>
        <v>3642751.459999999</v>
      </c>
      <c r="D111" s="29">
        <v>1334952.72</v>
      </c>
      <c r="E111" s="29">
        <f>484899.85+121547</f>
        <v>606446.85</v>
      </c>
      <c r="F111" s="29">
        <v>0</v>
      </c>
      <c r="G111" s="29">
        <v>204542.49</v>
      </c>
      <c r="H111" s="29">
        <v>0</v>
      </c>
      <c r="I111" s="29">
        <v>0</v>
      </c>
      <c r="J111" s="29">
        <v>0</v>
      </c>
      <c r="K111" s="29">
        <v>0</v>
      </c>
      <c r="L111" s="29">
        <v>0</v>
      </c>
      <c r="M111" s="29">
        <v>0</v>
      </c>
      <c r="N111" s="29">
        <v>553037.67000000004</v>
      </c>
      <c r="O111" s="29">
        <v>0</v>
      </c>
      <c r="P111" s="29">
        <v>0</v>
      </c>
      <c r="Q111" s="29">
        <v>0</v>
      </c>
      <c r="R111" s="29">
        <v>0</v>
      </c>
      <c r="S111" s="29">
        <v>0</v>
      </c>
      <c r="T111" s="29">
        <v>0</v>
      </c>
      <c r="U111" s="29">
        <v>0</v>
      </c>
      <c r="V111" s="29">
        <v>0</v>
      </c>
      <c r="W111" s="29">
        <v>123596.17</v>
      </c>
      <c r="X111" s="29">
        <v>0</v>
      </c>
      <c r="Y111" s="29">
        <v>0</v>
      </c>
      <c r="Z111" s="29">
        <v>385861.21</v>
      </c>
      <c r="AA111" s="29">
        <v>148350.35999999999</v>
      </c>
      <c r="AB111" s="29">
        <v>0</v>
      </c>
      <c r="AC111" s="29">
        <v>0</v>
      </c>
      <c r="AD111" s="29">
        <v>0</v>
      </c>
      <c r="AE111" s="29">
        <v>0</v>
      </c>
      <c r="AF111" s="29">
        <v>0</v>
      </c>
      <c r="AG111" s="29">
        <v>0</v>
      </c>
      <c r="AH111" s="29">
        <v>0</v>
      </c>
      <c r="AI111" s="29">
        <v>270363.99</v>
      </c>
      <c r="AJ111" s="29">
        <v>0</v>
      </c>
      <c r="AK111" s="29">
        <v>0</v>
      </c>
      <c r="AL111" s="29">
        <v>0</v>
      </c>
      <c r="AM111" s="29">
        <v>0</v>
      </c>
      <c r="AN111" s="29">
        <v>0</v>
      </c>
      <c r="AO111" s="29">
        <v>0</v>
      </c>
      <c r="AP111" s="29">
        <v>0</v>
      </c>
      <c r="AQ111" s="29">
        <v>0</v>
      </c>
      <c r="AR111" s="29">
        <v>0</v>
      </c>
      <c r="AS111" s="29">
        <v>0</v>
      </c>
      <c r="AT111" s="29">
        <v>0</v>
      </c>
      <c r="AU111" s="29">
        <v>0</v>
      </c>
      <c r="AV111" s="29">
        <v>0</v>
      </c>
      <c r="AW111" s="29">
        <v>0</v>
      </c>
      <c r="AX111" s="29">
        <v>0</v>
      </c>
      <c r="AY111" s="29">
        <v>0</v>
      </c>
      <c r="AZ111" s="29">
        <v>15600</v>
      </c>
      <c r="BA111" s="29">
        <v>0</v>
      </c>
      <c r="BB111" s="29">
        <v>0</v>
      </c>
      <c r="BC111" s="29">
        <v>0</v>
      </c>
      <c r="BD111" s="180">
        <v>0</v>
      </c>
      <c r="BE111" s="29">
        <v>0</v>
      </c>
      <c r="BF111" s="29">
        <v>0</v>
      </c>
      <c r="BG111" s="29">
        <v>0</v>
      </c>
      <c r="BH111" s="29">
        <v>0</v>
      </c>
      <c r="BI111" s="29">
        <v>0</v>
      </c>
      <c r="BJ111" s="29">
        <v>0</v>
      </c>
      <c r="BK111" s="29">
        <v>0</v>
      </c>
      <c r="BL111" s="29">
        <v>0</v>
      </c>
      <c r="BM111" s="29">
        <v>0</v>
      </c>
      <c r="BN111" s="29">
        <v>0</v>
      </c>
      <c r="BO111" s="29">
        <v>0</v>
      </c>
      <c r="BP111" s="29">
        <v>0</v>
      </c>
      <c r="BQ111" s="29">
        <v>0</v>
      </c>
      <c r="BR111" s="29">
        <v>0</v>
      </c>
      <c r="BS111" s="29">
        <v>0</v>
      </c>
      <c r="BT111" s="29">
        <v>0</v>
      </c>
      <c r="BU111" s="29">
        <v>0</v>
      </c>
      <c r="BV111" s="29">
        <v>0</v>
      </c>
      <c r="BW111" s="29">
        <v>0</v>
      </c>
      <c r="BX111" s="29">
        <v>0</v>
      </c>
      <c r="BY111" s="29">
        <v>0</v>
      </c>
      <c r="BZ111" s="29">
        <v>0</v>
      </c>
      <c r="CA111" s="29">
        <v>0</v>
      </c>
      <c r="CB111" s="29">
        <v>0</v>
      </c>
      <c r="CC111" s="29">
        <v>0</v>
      </c>
      <c r="CD111" s="29">
        <v>0</v>
      </c>
      <c r="CE111" s="29">
        <v>0</v>
      </c>
      <c r="CF111" s="29">
        <v>0</v>
      </c>
      <c r="CG111" s="29">
        <v>0</v>
      </c>
      <c r="CH111" s="29">
        <v>0</v>
      </c>
      <c r="CI111" s="29">
        <v>0</v>
      </c>
      <c r="CJ111" s="29">
        <v>0</v>
      </c>
      <c r="CK111" s="29">
        <v>0</v>
      </c>
      <c r="CL111" s="29">
        <v>0</v>
      </c>
      <c r="CM111" s="29">
        <v>0</v>
      </c>
      <c r="CN111" s="29">
        <v>0</v>
      </c>
      <c r="CO111" s="29">
        <v>0</v>
      </c>
      <c r="CP111" s="29">
        <v>0</v>
      </c>
      <c r="CQ111" s="29">
        <v>0</v>
      </c>
      <c r="CR111" s="29">
        <v>0</v>
      </c>
      <c r="CS111" s="29">
        <v>0</v>
      </c>
      <c r="CT111" s="29">
        <v>0</v>
      </c>
      <c r="CU111" s="361">
        <v>0</v>
      </c>
      <c r="CV111" s="189"/>
    </row>
    <row r="112" spans="1:100" ht="63.75" x14ac:dyDescent="0.2">
      <c r="A112" s="4" t="s">
        <v>1175</v>
      </c>
      <c r="B112" s="369" t="s">
        <v>1140</v>
      </c>
      <c r="C112" s="84">
        <f>SUM(D112:DX112)</f>
        <v>4200322.7300000004</v>
      </c>
      <c r="D112" s="29">
        <v>1641628.52</v>
      </c>
      <c r="E112" s="29">
        <v>708531</v>
      </c>
      <c r="F112" s="29">
        <v>0</v>
      </c>
      <c r="G112" s="29">
        <v>0</v>
      </c>
      <c r="H112" s="29">
        <v>0</v>
      </c>
      <c r="I112" s="29">
        <v>0</v>
      </c>
      <c r="J112" s="29">
        <v>0</v>
      </c>
      <c r="K112" s="29">
        <v>0</v>
      </c>
      <c r="L112" s="29">
        <v>0</v>
      </c>
      <c r="M112" s="29">
        <v>21201.62</v>
      </c>
      <c r="N112" s="29">
        <v>886955.43</v>
      </c>
      <c r="O112" s="29">
        <v>0</v>
      </c>
      <c r="P112" s="29">
        <v>0</v>
      </c>
      <c r="Q112" s="29">
        <v>0</v>
      </c>
      <c r="R112" s="29">
        <v>0</v>
      </c>
      <c r="S112" s="29">
        <v>0</v>
      </c>
      <c r="T112" s="29">
        <v>0</v>
      </c>
      <c r="U112" s="29">
        <v>13009</v>
      </c>
      <c r="V112" s="29">
        <v>0</v>
      </c>
      <c r="W112" s="29">
        <v>20891.330000000002</v>
      </c>
      <c r="X112" s="29">
        <v>30753.17</v>
      </c>
      <c r="Y112" s="29">
        <v>0</v>
      </c>
      <c r="Z112" s="29">
        <v>259529.31</v>
      </c>
      <c r="AA112" s="29">
        <v>0</v>
      </c>
      <c r="AB112" s="29">
        <v>0</v>
      </c>
      <c r="AC112" s="29">
        <v>0</v>
      </c>
      <c r="AD112" s="29">
        <v>0</v>
      </c>
      <c r="AE112" s="29">
        <v>85035.35</v>
      </c>
      <c r="AF112" s="29">
        <v>0</v>
      </c>
      <c r="AG112" s="29">
        <v>0</v>
      </c>
      <c r="AH112" s="29">
        <v>0</v>
      </c>
      <c r="AI112" s="29">
        <v>532788</v>
      </c>
      <c r="AJ112" s="29">
        <v>0</v>
      </c>
      <c r="AK112" s="29">
        <v>0</v>
      </c>
      <c r="AL112" s="29">
        <v>0</v>
      </c>
      <c r="AM112" s="29">
        <v>0</v>
      </c>
      <c r="AN112" s="29">
        <v>0</v>
      </c>
      <c r="AO112" s="29">
        <v>0</v>
      </c>
      <c r="AP112" s="29">
        <v>0</v>
      </c>
      <c r="AQ112" s="29">
        <v>0</v>
      </c>
      <c r="AR112" s="29">
        <v>0</v>
      </c>
      <c r="AS112" s="29">
        <v>0</v>
      </c>
      <c r="AT112" s="29">
        <v>0</v>
      </c>
      <c r="AU112" s="29">
        <v>0</v>
      </c>
      <c r="AV112" s="29">
        <v>0</v>
      </c>
      <c r="AW112" s="29">
        <v>0</v>
      </c>
      <c r="AX112" s="29">
        <v>0</v>
      </c>
      <c r="AY112" s="29">
        <v>0</v>
      </c>
      <c r="AZ112" s="29">
        <v>0</v>
      </c>
      <c r="BA112" s="29">
        <v>0</v>
      </c>
      <c r="BB112" s="29">
        <v>0</v>
      </c>
      <c r="BC112" s="29">
        <v>0</v>
      </c>
      <c r="BD112" s="180">
        <v>0</v>
      </c>
      <c r="BE112" s="29">
        <v>0</v>
      </c>
      <c r="BF112" s="29">
        <v>0</v>
      </c>
      <c r="BG112" s="29">
        <v>0</v>
      </c>
      <c r="BH112" s="29">
        <v>0</v>
      </c>
      <c r="BI112" s="29">
        <v>0</v>
      </c>
      <c r="BJ112" s="29">
        <v>0</v>
      </c>
      <c r="BK112" s="29">
        <v>0</v>
      </c>
      <c r="BL112" s="29">
        <v>0</v>
      </c>
      <c r="BM112" s="29">
        <v>0</v>
      </c>
      <c r="BN112" s="29">
        <v>0</v>
      </c>
      <c r="BO112" s="29">
        <v>0</v>
      </c>
      <c r="BP112" s="29">
        <v>0</v>
      </c>
      <c r="BQ112" s="29">
        <v>0</v>
      </c>
      <c r="BR112" s="29">
        <v>0</v>
      </c>
      <c r="BS112" s="29">
        <v>0</v>
      </c>
      <c r="BT112" s="29">
        <v>0</v>
      </c>
      <c r="BU112" s="29">
        <v>0</v>
      </c>
      <c r="BV112" s="29">
        <v>0</v>
      </c>
      <c r="BW112" s="29">
        <v>0</v>
      </c>
      <c r="BX112" s="29">
        <v>0</v>
      </c>
      <c r="BY112" s="29">
        <v>0</v>
      </c>
      <c r="BZ112" s="29">
        <v>0</v>
      </c>
      <c r="CA112" s="29">
        <v>0</v>
      </c>
      <c r="CB112" s="29">
        <v>0</v>
      </c>
      <c r="CC112" s="29">
        <v>0</v>
      </c>
      <c r="CD112" s="29">
        <v>0</v>
      </c>
      <c r="CE112" s="29">
        <v>0</v>
      </c>
      <c r="CF112" s="29">
        <v>0</v>
      </c>
      <c r="CG112" s="29">
        <v>0</v>
      </c>
      <c r="CH112" s="29">
        <v>0</v>
      </c>
      <c r="CI112" s="29">
        <v>0</v>
      </c>
      <c r="CJ112" s="29">
        <v>0</v>
      </c>
      <c r="CK112" s="29">
        <v>0</v>
      </c>
      <c r="CL112" s="29">
        <v>0</v>
      </c>
      <c r="CM112" s="29">
        <v>0</v>
      </c>
      <c r="CN112" s="29">
        <v>0</v>
      </c>
      <c r="CO112" s="29">
        <v>0</v>
      </c>
      <c r="CP112" s="29">
        <v>0</v>
      </c>
      <c r="CQ112" s="29">
        <v>0</v>
      </c>
      <c r="CR112" s="29">
        <v>0</v>
      </c>
      <c r="CS112" s="29">
        <v>0</v>
      </c>
      <c r="CT112" s="29">
        <v>0</v>
      </c>
      <c r="CU112" s="361">
        <v>0</v>
      </c>
      <c r="CV112" s="189"/>
    </row>
    <row r="113" spans="1:100" ht="60.75" customHeight="1" x14ac:dyDescent="0.2">
      <c r="A113" s="404" t="s">
        <v>1172</v>
      </c>
      <c r="B113" s="373" t="s">
        <v>1141</v>
      </c>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1"/>
      <c r="AZ113" s="191"/>
      <c r="BA113" s="191"/>
      <c r="BB113" s="191"/>
      <c r="BC113" s="191"/>
      <c r="BD113" s="192"/>
      <c r="BE113" s="191"/>
      <c r="BF113" s="191"/>
      <c r="BG113" s="191"/>
      <c r="BH113" s="191"/>
      <c r="BI113" s="191"/>
      <c r="BJ113" s="191"/>
      <c r="BK113" s="191"/>
      <c r="BL113" s="191"/>
      <c r="BM113" s="191"/>
      <c r="BN113" s="191"/>
      <c r="BO113" s="191"/>
      <c r="BP113" s="191"/>
      <c r="BQ113" s="191"/>
      <c r="BR113" s="191"/>
      <c r="BS113" s="191"/>
      <c r="BT113" s="191"/>
      <c r="BU113" s="191"/>
      <c r="BV113" s="191"/>
      <c r="BW113" s="191"/>
      <c r="BX113" s="191"/>
      <c r="BY113" s="191"/>
      <c r="BZ113" s="191"/>
      <c r="CA113" s="191"/>
      <c r="CB113" s="191"/>
      <c r="CC113" s="191"/>
      <c r="CD113" s="191"/>
      <c r="CE113" s="191"/>
      <c r="CF113" s="191"/>
      <c r="CG113" s="191"/>
      <c r="CH113" s="191"/>
      <c r="CI113" s="191"/>
      <c r="CJ113" s="191"/>
      <c r="CK113" s="191"/>
      <c r="CL113" s="191"/>
      <c r="CM113" s="191"/>
      <c r="CN113" s="191"/>
      <c r="CO113" s="191"/>
      <c r="CP113" s="191"/>
      <c r="CQ113" s="191"/>
      <c r="CR113" s="191"/>
      <c r="CS113" s="191"/>
      <c r="CT113" s="191"/>
      <c r="CU113" s="367"/>
      <c r="CV113" s="189"/>
    </row>
    <row r="114" spans="1:100" ht="47.25" customHeight="1" x14ac:dyDescent="0.2">
      <c r="A114" s="404" t="s">
        <v>1172</v>
      </c>
      <c r="B114" s="369" t="s">
        <v>1142</v>
      </c>
      <c r="C114" s="84">
        <f>SUM(D114:DX114)</f>
        <v>72478.27</v>
      </c>
      <c r="D114" s="29">
        <v>0</v>
      </c>
      <c r="E114" s="29">
        <v>0</v>
      </c>
      <c r="F114" s="29">
        <v>0</v>
      </c>
      <c r="G114" s="29">
        <v>0</v>
      </c>
      <c r="H114" s="29">
        <v>0</v>
      </c>
      <c r="I114" s="29">
        <v>0</v>
      </c>
      <c r="J114" s="29">
        <v>0</v>
      </c>
      <c r="K114" s="29">
        <v>0</v>
      </c>
      <c r="L114" s="29">
        <v>0</v>
      </c>
      <c r="M114" s="29">
        <v>0</v>
      </c>
      <c r="N114" s="29">
        <v>63144</v>
      </c>
      <c r="O114" s="29">
        <v>0</v>
      </c>
      <c r="P114" s="29">
        <v>0</v>
      </c>
      <c r="Q114" s="29">
        <v>0</v>
      </c>
      <c r="R114" s="29">
        <v>0</v>
      </c>
      <c r="S114" s="29">
        <v>0</v>
      </c>
      <c r="T114" s="29">
        <v>0</v>
      </c>
      <c r="U114" s="29">
        <v>0</v>
      </c>
      <c r="V114" s="29">
        <v>0</v>
      </c>
      <c r="W114" s="29">
        <v>0</v>
      </c>
      <c r="X114" s="29">
        <v>0</v>
      </c>
      <c r="Y114" s="29">
        <v>0</v>
      </c>
      <c r="Z114" s="29">
        <v>0</v>
      </c>
      <c r="AA114" s="29">
        <v>0</v>
      </c>
      <c r="AB114" s="29">
        <v>0</v>
      </c>
      <c r="AC114" s="29">
        <v>0</v>
      </c>
      <c r="AD114" s="29">
        <v>9334.27</v>
      </c>
      <c r="AE114" s="29">
        <v>0</v>
      </c>
      <c r="AF114" s="29">
        <v>0</v>
      </c>
      <c r="AG114" s="29">
        <v>0</v>
      </c>
      <c r="AH114" s="29">
        <v>0</v>
      </c>
      <c r="AI114" s="29">
        <v>0</v>
      </c>
      <c r="AJ114" s="29">
        <v>0</v>
      </c>
      <c r="AK114" s="29">
        <v>0</v>
      </c>
      <c r="AL114" s="29">
        <v>0</v>
      </c>
      <c r="AM114" s="29">
        <v>0</v>
      </c>
      <c r="AN114" s="29">
        <v>0</v>
      </c>
      <c r="AO114" s="29">
        <v>0</v>
      </c>
      <c r="AP114" s="29">
        <v>0</v>
      </c>
      <c r="AQ114" s="29">
        <v>0</v>
      </c>
      <c r="AR114" s="29">
        <v>0</v>
      </c>
      <c r="AS114" s="29">
        <v>0</v>
      </c>
      <c r="AT114" s="29">
        <v>0</v>
      </c>
      <c r="AU114" s="29">
        <v>0</v>
      </c>
      <c r="AV114" s="29">
        <v>0</v>
      </c>
      <c r="AW114" s="29">
        <v>0</v>
      </c>
      <c r="AX114" s="29">
        <v>0</v>
      </c>
      <c r="AY114" s="29">
        <v>0</v>
      </c>
      <c r="AZ114" s="29">
        <v>0</v>
      </c>
      <c r="BA114" s="29">
        <v>0</v>
      </c>
      <c r="BB114" s="29">
        <v>0</v>
      </c>
      <c r="BC114" s="29">
        <v>0</v>
      </c>
      <c r="BD114" s="180">
        <v>0</v>
      </c>
      <c r="BE114" s="29">
        <v>0</v>
      </c>
      <c r="BF114" s="29">
        <v>0</v>
      </c>
      <c r="BG114" s="29">
        <v>0</v>
      </c>
      <c r="BH114" s="29">
        <v>0</v>
      </c>
      <c r="BI114" s="29">
        <v>0</v>
      </c>
      <c r="BJ114" s="29">
        <v>0</v>
      </c>
      <c r="BK114" s="29">
        <v>0</v>
      </c>
      <c r="BL114" s="29">
        <v>0</v>
      </c>
      <c r="BM114" s="29">
        <v>0</v>
      </c>
      <c r="BN114" s="29">
        <v>0</v>
      </c>
      <c r="BO114" s="29">
        <v>0</v>
      </c>
      <c r="BP114" s="29">
        <v>0</v>
      </c>
      <c r="BQ114" s="29">
        <v>0</v>
      </c>
      <c r="BR114" s="29">
        <v>0</v>
      </c>
      <c r="BS114" s="29">
        <v>0</v>
      </c>
      <c r="BT114" s="29">
        <v>0</v>
      </c>
      <c r="BU114" s="29">
        <v>0</v>
      </c>
      <c r="BV114" s="29">
        <v>0</v>
      </c>
      <c r="BW114" s="29">
        <v>0</v>
      </c>
      <c r="BX114" s="29">
        <v>0</v>
      </c>
      <c r="BY114" s="29">
        <v>0</v>
      </c>
      <c r="BZ114" s="29">
        <v>0</v>
      </c>
      <c r="CA114" s="29">
        <v>0</v>
      </c>
      <c r="CB114" s="29">
        <v>0</v>
      </c>
      <c r="CC114" s="29">
        <v>0</v>
      </c>
      <c r="CD114" s="29">
        <v>0</v>
      </c>
      <c r="CE114" s="29">
        <v>0</v>
      </c>
      <c r="CF114" s="29">
        <v>0</v>
      </c>
      <c r="CG114" s="29">
        <v>0</v>
      </c>
      <c r="CH114" s="29">
        <v>0</v>
      </c>
      <c r="CI114" s="29">
        <v>0</v>
      </c>
      <c r="CJ114" s="29">
        <v>0</v>
      </c>
      <c r="CK114" s="29">
        <v>0</v>
      </c>
      <c r="CL114" s="29">
        <v>0</v>
      </c>
      <c r="CM114" s="29">
        <v>0</v>
      </c>
      <c r="CN114" s="29">
        <v>0</v>
      </c>
      <c r="CO114" s="29">
        <v>0</v>
      </c>
      <c r="CP114" s="29">
        <v>0</v>
      </c>
      <c r="CQ114" s="29">
        <v>0</v>
      </c>
      <c r="CR114" s="29">
        <v>0</v>
      </c>
      <c r="CS114" s="29">
        <v>0</v>
      </c>
      <c r="CT114" s="29">
        <v>0</v>
      </c>
      <c r="CU114" s="361">
        <v>0</v>
      </c>
      <c r="CV114" s="189"/>
    </row>
    <row r="115" spans="1:100" ht="76.5" x14ac:dyDescent="0.2">
      <c r="A115" s="404" t="s">
        <v>1172</v>
      </c>
      <c r="B115" s="369" t="s">
        <v>1143</v>
      </c>
      <c r="C115" s="84">
        <f>SUM(D115:DX115)</f>
        <v>456249.76</v>
      </c>
      <c r="D115" s="29">
        <v>0</v>
      </c>
      <c r="E115" s="29">
        <v>0</v>
      </c>
      <c r="F115" s="29">
        <v>0</v>
      </c>
      <c r="G115" s="29">
        <f>112670.38+76833.93</f>
        <v>189504.31</v>
      </c>
      <c r="H115" s="29">
        <v>0</v>
      </c>
      <c r="I115" s="29">
        <v>0</v>
      </c>
      <c r="J115" s="29">
        <v>0</v>
      </c>
      <c r="K115" s="29">
        <v>0</v>
      </c>
      <c r="L115" s="29">
        <v>0</v>
      </c>
      <c r="M115" s="29">
        <v>0</v>
      </c>
      <c r="N115" s="29">
        <v>160957</v>
      </c>
      <c r="O115" s="29">
        <v>0</v>
      </c>
      <c r="P115" s="29">
        <v>0</v>
      </c>
      <c r="Q115" s="29">
        <v>0</v>
      </c>
      <c r="R115" s="29">
        <v>0</v>
      </c>
      <c r="S115" s="29">
        <v>0</v>
      </c>
      <c r="T115" s="29">
        <v>0</v>
      </c>
      <c r="U115" s="29">
        <v>0</v>
      </c>
      <c r="V115" s="29">
        <v>0</v>
      </c>
      <c r="W115" s="29">
        <v>0</v>
      </c>
      <c r="X115" s="29">
        <v>0</v>
      </c>
      <c r="Y115" s="29">
        <v>0</v>
      </c>
      <c r="Z115" s="29">
        <v>0</v>
      </c>
      <c r="AA115" s="29">
        <v>0</v>
      </c>
      <c r="AB115" s="29">
        <v>0</v>
      </c>
      <c r="AC115" s="29">
        <v>0</v>
      </c>
      <c r="AD115" s="29">
        <v>105788.45</v>
      </c>
      <c r="AE115" s="29">
        <v>0</v>
      </c>
      <c r="AF115" s="29">
        <v>0</v>
      </c>
      <c r="AG115" s="29">
        <v>0</v>
      </c>
      <c r="AH115" s="29">
        <v>0</v>
      </c>
      <c r="AI115" s="29">
        <v>0</v>
      </c>
      <c r="AJ115" s="29">
        <v>0</v>
      </c>
      <c r="AK115" s="29">
        <v>0</v>
      </c>
      <c r="AL115" s="29">
        <v>0</v>
      </c>
      <c r="AM115" s="29">
        <v>0</v>
      </c>
      <c r="AN115" s="29">
        <v>0</v>
      </c>
      <c r="AO115" s="29">
        <v>0</v>
      </c>
      <c r="AP115" s="29">
        <v>0</v>
      </c>
      <c r="AQ115" s="29">
        <v>0</v>
      </c>
      <c r="AR115" s="29">
        <v>0</v>
      </c>
      <c r="AS115" s="29">
        <v>0</v>
      </c>
      <c r="AT115" s="29">
        <v>0</v>
      </c>
      <c r="AU115" s="29">
        <v>0</v>
      </c>
      <c r="AV115" s="29">
        <v>0</v>
      </c>
      <c r="AW115" s="29">
        <v>0</v>
      </c>
      <c r="AX115" s="29">
        <v>0</v>
      </c>
      <c r="AY115" s="29">
        <v>0</v>
      </c>
      <c r="AZ115" s="29">
        <v>0</v>
      </c>
      <c r="BA115" s="29">
        <v>0</v>
      </c>
      <c r="BB115" s="29">
        <v>0</v>
      </c>
      <c r="BC115" s="29">
        <v>0</v>
      </c>
      <c r="BD115" s="180">
        <v>0</v>
      </c>
      <c r="BE115" s="29">
        <v>0</v>
      </c>
      <c r="BF115" s="29">
        <v>0</v>
      </c>
      <c r="BG115" s="29">
        <v>0</v>
      </c>
      <c r="BH115" s="29">
        <v>0</v>
      </c>
      <c r="BI115" s="29">
        <v>0</v>
      </c>
      <c r="BJ115" s="29">
        <v>0</v>
      </c>
      <c r="BK115" s="29">
        <v>0</v>
      </c>
      <c r="BL115" s="29">
        <v>0</v>
      </c>
      <c r="BM115" s="29">
        <v>0</v>
      </c>
      <c r="BN115" s="29">
        <v>0</v>
      </c>
      <c r="BO115" s="29">
        <v>0</v>
      </c>
      <c r="BP115" s="29">
        <v>0</v>
      </c>
      <c r="BQ115" s="29">
        <v>0</v>
      </c>
      <c r="BR115" s="29">
        <v>0</v>
      </c>
      <c r="BS115" s="29">
        <v>0</v>
      </c>
      <c r="BT115" s="29">
        <v>0</v>
      </c>
      <c r="BU115" s="29">
        <v>0</v>
      </c>
      <c r="BV115" s="29">
        <v>0</v>
      </c>
      <c r="BW115" s="29">
        <v>0</v>
      </c>
      <c r="BX115" s="29">
        <v>0</v>
      </c>
      <c r="BY115" s="29">
        <v>0</v>
      </c>
      <c r="BZ115" s="29">
        <v>0</v>
      </c>
      <c r="CA115" s="29">
        <v>0</v>
      </c>
      <c r="CB115" s="29">
        <v>0</v>
      </c>
      <c r="CC115" s="29">
        <v>0</v>
      </c>
      <c r="CD115" s="29">
        <v>0</v>
      </c>
      <c r="CE115" s="29">
        <v>0</v>
      </c>
      <c r="CF115" s="29">
        <v>0</v>
      </c>
      <c r="CG115" s="29">
        <v>0</v>
      </c>
      <c r="CH115" s="29">
        <v>0</v>
      </c>
      <c r="CI115" s="29">
        <v>0</v>
      </c>
      <c r="CJ115" s="29">
        <v>0</v>
      </c>
      <c r="CK115" s="29">
        <v>0</v>
      </c>
      <c r="CL115" s="29">
        <v>0</v>
      </c>
      <c r="CM115" s="29">
        <v>0</v>
      </c>
      <c r="CN115" s="29">
        <v>0</v>
      </c>
      <c r="CO115" s="29">
        <v>0</v>
      </c>
      <c r="CP115" s="29">
        <v>0</v>
      </c>
      <c r="CQ115" s="29">
        <v>0</v>
      </c>
      <c r="CR115" s="29">
        <v>0</v>
      </c>
      <c r="CS115" s="29">
        <v>0</v>
      </c>
      <c r="CT115" s="29">
        <v>0</v>
      </c>
      <c r="CU115" s="361">
        <v>0</v>
      </c>
      <c r="CV115" s="189"/>
    </row>
    <row r="116" spans="1:100" ht="76.5" x14ac:dyDescent="0.2">
      <c r="A116" s="404" t="s">
        <v>1172</v>
      </c>
      <c r="B116" s="369" t="s">
        <v>1144</v>
      </c>
      <c r="C116" s="84">
        <f>SUM(D116:DX116)</f>
        <v>131904.63999999998</v>
      </c>
      <c r="D116" s="29">
        <v>0</v>
      </c>
      <c r="E116" s="29">
        <v>0</v>
      </c>
      <c r="F116" s="29">
        <v>0</v>
      </c>
      <c r="G116" s="29">
        <f>59428.25+41372.12</f>
        <v>100800.37</v>
      </c>
      <c r="H116" s="29">
        <v>0</v>
      </c>
      <c r="I116" s="29">
        <v>0</v>
      </c>
      <c r="J116" s="29">
        <v>0</v>
      </c>
      <c r="K116" s="29">
        <v>0</v>
      </c>
      <c r="L116" s="29">
        <v>0</v>
      </c>
      <c r="M116" s="29">
        <v>0</v>
      </c>
      <c r="N116" s="29">
        <v>21770</v>
      </c>
      <c r="O116" s="29">
        <v>0</v>
      </c>
      <c r="P116" s="29">
        <v>0</v>
      </c>
      <c r="Q116" s="29">
        <v>0</v>
      </c>
      <c r="R116" s="29">
        <v>0</v>
      </c>
      <c r="S116" s="29">
        <v>0</v>
      </c>
      <c r="T116" s="29">
        <v>0</v>
      </c>
      <c r="U116" s="29">
        <v>0</v>
      </c>
      <c r="V116" s="29">
        <v>0</v>
      </c>
      <c r="W116" s="29">
        <v>0</v>
      </c>
      <c r="X116" s="29">
        <v>0</v>
      </c>
      <c r="Y116" s="29">
        <v>0</v>
      </c>
      <c r="Z116" s="29">
        <v>0</v>
      </c>
      <c r="AA116" s="29">
        <v>0</v>
      </c>
      <c r="AB116" s="29">
        <v>0</v>
      </c>
      <c r="AC116" s="29">
        <v>0</v>
      </c>
      <c r="AD116" s="29">
        <v>9334.27</v>
      </c>
      <c r="AE116" s="29">
        <v>0</v>
      </c>
      <c r="AF116" s="29">
        <v>0</v>
      </c>
      <c r="AG116" s="29">
        <v>0</v>
      </c>
      <c r="AH116" s="29">
        <v>0</v>
      </c>
      <c r="AI116" s="29">
        <v>0</v>
      </c>
      <c r="AJ116" s="29">
        <v>0</v>
      </c>
      <c r="AK116" s="29">
        <v>0</v>
      </c>
      <c r="AL116" s="29">
        <v>0</v>
      </c>
      <c r="AM116" s="29">
        <v>0</v>
      </c>
      <c r="AN116" s="29">
        <v>0</v>
      </c>
      <c r="AO116" s="29">
        <v>0</v>
      </c>
      <c r="AP116" s="29">
        <v>0</v>
      </c>
      <c r="AQ116" s="29">
        <v>0</v>
      </c>
      <c r="AR116" s="29">
        <v>0</v>
      </c>
      <c r="AS116" s="29">
        <v>0</v>
      </c>
      <c r="AT116" s="29">
        <v>0</v>
      </c>
      <c r="AU116" s="29">
        <v>0</v>
      </c>
      <c r="AV116" s="29">
        <v>0</v>
      </c>
      <c r="AW116" s="29">
        <v>0</v>
      </c>
      <c r="AX116" s="29">
        <v>0</v>
      </c>
      <c r="AY116" s="29">
        <v>0</v>
      </c>
      <c r="AZ116" s="29">
        <v>0</v>
      </c>
      <c r="BA116" s="29">
        <v>0</v>
      </c>
      <c r="BB116" s="29">
        <v>0</v>
      </c>
      <c r="BC116" s="29">
        <v>0</v>
      </c>
      <c r="BD116" s="180">
        <v>0</v>
      </c>
      <c r="BE116" s="29">
        <v>0</v>
      </c>
      <c r="BF116" s="29">
        <v>0</v>
      </c>
      <c r="BG116" s="29">
        <v>0</v>
      </c>
      <c r="BH116" s="29">
        <v>0</v>
      </c>
      <c r="BI116" s="29">
        <v>0</v>
      </c>
      <c r="BJ116" s="29">
        <v>0</v>
      </c>
      <c r="BK116" s="29">
        <v>0</v>
      </c>
      <c r="BL116" s="29">
        <v>0</v>
      </c>
      <c r="BM116" s="29">
        <v>0</v>
      </c>
      <c r="BN116" s="29">
        <v>0</v>
      </c>
      <c r="BO116" s="29">
        <v>0</v>
      </c>
      <c r="BP116" s="29">
        <v>0</v>
      </c>
      <c r="BQ116" s="29">
        <v>0</v>
      </c>
      <c r="BR116" s="29">
        <v>0</v>
      </c>
      <c r="BS116" s="29">
        <v>0</v>
      </c>
      <c r="BT116" s="29">
        <v>0</v>
      </c>
      <c r="BU116" s="29">
        <v>0</v>
      </c>
      <c r="BV116" s="29">
        <v>0</v>
      </c>
      <c r="BW116" s="29">
        <v>0</v>
      </c>
      <c r="BX116" s="29">
        <v>0</v>
      </c>
      <c r="BY116" s="29">
        <v>0</v>
      </c>
      <c r="BZ116" s="29">
        <v>0</v>
      </c>
      <c r="CA116" s="29">
        <v>0</v>
      </c>
      <c r="CB116" s="29">
        <v>0</v>
      </c>
      <c r="CC116" s="29">
        <v>0</v>
      </c>
      <c r="CD116" s="29">
        <v>0</v>
      </c>
      <c r="CE116" s="29">
        <v>0</v>
      </c>
      <c r="CF116" s="29">
        <v>0</v>
      </c>
      <c r="CG116" s="29">
        <v>0</v>
      </c>
      <c r="CH116" s="29">
        <v>0</v>
      </c>
      <c r="CI116" s="29">
        <v>0</v>
      </c>
      <c r="CJ116" s="29">
        <v>0</v>
      </c>
      <c r="CK116" s="29">
        <v>0</v>
      </c>
      <c r="CL116" s="29">
        <v>0</v>
      </c>
      <c r="CM116" s="29">
        <v>0</v>
      </c>
      <c r="CN116" s="29">
        <v>0</v>
      </c>
      <c r="CO116" s="29">
        <v>0</v>
      </c>
      <c r="CP116" s="29">
        <v>0</v>
      </c>
      <c r="CQ116" s="29">
        <v>0</v>
      </c>
      <c r="CR116" s="29">
        <v>0</v>
      </c>
      <c r="CS116" s="29">
        <v>0</v>
      </c>
      <c r="CT116" s="29">
        <v>0</v>
      </c>
      <c r="CU116" s="361">
        <v>0</v>
      </c>
      <c r="CV116" s="189"/>
    </row>
    <row r="117" spans="1:100" ht="72.75" customHeight="1" x14ac:dyDescent="0.2">
      <c r="A117" s="404" t="s">
        <v>1172</v>
      </c>
      <c r="B117" s="373" t="s">
        <v>1145</v>
      </c>
      <c r="C117" s="19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c r="BD117" s="192"/>
      <c r="BE117" s="191"/>
      <c r="BF117" s="191"/>
      <c r="BG117" s="191"/>
      <c r="BH117" s="191"/>
      <c r="BI117" s="191"/>
      <c r="BJ117" s="191"/>
      <c r="BK117" s="191"/>
      <c r="BL117" s="191"/>
      <c r="BM117" s="191"/>
      <c r="BN117" s="191"/>
      <c r="BO117" s="191"/>
      <c r="BP117" s="191"/>
      <c r="BQ117" s="191"/>
      <c r="BR117" s="191"/>
      <c r="BS117" s="191"/>
      <c r="BT117" s="191"/>
      <c r="BU117" s="191"/>
      <c r="BV117" s="191"/>
      <c r="BW117" s="191"/>
      <c r="BX117" s="191"/>
      <c r="BY117" s="191"/>
      <c r="BZ117" s="191"/>
      <c r="CA117" s="191"/>
      <c r="CB117" s="191"/>
      <c r="CC117" s="191"/>
      <c r="CD117" s="191"/>
      <c r="CE117" s="191"/>
      <c r="CF117" s="191"/>
      <c r="CG117" s="191"/>
      <c r="CH117" s="191"/>
      <c r="CI117" s="191"/>
      <c r="CJ117" s="191"/>
      <c r="CK117" s="191"/>
      <c r="CL117" s="191"/>
      <c r="CM117" s="191"/>
      <c r="CN117" s="191"/>
      <c r="CO117" s="191"/>
      <c r="CP117" s="191"/>
      <c r="CQ117" s="191"/>
      <c r="CR117" s="191"/>
      <c r="CS117" s="191"/>
      <c r="CT117" s="191"/>
      <c r="CU117" s="367"/>
      <c r="CV117" s="189"/>
    </row>
    <row r="118" spans="1:100" ht="63" customHeight="1" x14ac:dyDescent="0.2">
      <c r="A118" s="404" t="s">
        <v>1172</v>
      </c>
      <c r="B118" s="369" t="s">
        <v>1146</v>
      </c>
      <c r="C118" s="84">
        <f>SUM(D118:DX118)</f>
        <v>1386039.2</v>
      </c>
      <c r="D118" s="29">
        <v>0</v>
      </c>
      <c r="E118" s="29">
        <v>0</v>
      </c>
      <c r="F118" s="29">
        <v>0</v>
      </c>
      <c r="G118" s="29">
        <v>438000</v>
      </c>
      <c r="H118" s="29">
        <v>0</v>
      </c>
      <c r="I118" s="29">
        <v>0</v>
      </c>
      <c r="J118" s="29">
        <v>0</v>
      </c>
      <c r="K118" s="29">
        <v>0</v>
      </c>
      <c r="L118" s="29">
        <v>0</v>
      </c>
      <c r="M118" s="29">
        <v>0</v>
      </c>
      <c r="N118" s="29">
        <v>0</v>
      </c>
      <c r="O118" s="29">
        <v>0</v>
      </c>
      <c r="P118" s="29">
        <v>0</v>
      </c>
      <c r="Q118" s="29">
        <v>0</v>
      </c>
      <c r="R118" s="29">
        <v>0</v>
      </c>
      <c r="S118" s="29">
        <v>0</v>
      </c>
      <c r="T118" s="29">
        <v>0</v>
      </c>
      <c r="U118" s="29">
        <v>0</v>
      </c>
      <c r="V118" s="29">
        <v>0</v>
      </c>
      <c r="W118" s="29">
        <v>0</v>
      </c>
      <c r="X118" s="29">
        <v>0</v>
      </c>
      <c r="Y118" s="29">
        <v>0</v>
      </c>
      <c r="Z118" s="29">
        <v>0</v>
      </c>
      <c r="AA118" s="29">
        <v>0</v>
      </c>
      <c r="AB118" s="29">
        <v>0</v>
      </c>
      <c r="AC118" s="29">
        <v>0</v>
      </c>
      <c r="AD118" s="29">
        <f>653786.97-124457</f>
        <v>529329.97</v>
      </c>
      <c r="AE118" s="29">
        <v>418709.23</v>
      </c>
      <c r="AF118" s="29">
        <v>0</v>
      </c>
      <c r="AG118" s="29">
        <v>0</v>
      </c>
      <c r="AH118" s="29">
        <v>0</v>
      </c>
      <c r="AI118" s="29">
        <v>0</v>
      </c>
      <c r="AJ118" s="29">
        <v>0</v>
      </c>
      <c r="AK118" s="29">
        <v>0</v>
      </c>
      <c r="AL118" s="29">
        <v>0</v>
      </c>
      <c r="AM118" s="29">
        <v>0</v>
      </c>
      <c r="AN118" s="29">
        <v>0</v>
      </c>
      <c r="AO118" s="29">
        <v>0</v>
      </c>
      <c r="AP118" s="29">
        <v>0</v>
      </c>
      <c r="AQ118" s="29">
        <v>0</v>
      </c>
      <c r="AR118" s="29">
        <v>0</v>
      </c>
      <c r="AS118" s="29">
        <v>0</v>
      </c>
      <c r="AT118" s="29">
        <v>0</v>
      </c>
      <c r="AU118" s="29">
        <v>0</v>
      </c>
      <c r="AV118" s="29">
        <v>0</v>
      </c>
      <c r="AW118" s="29">
        <v>0</v>
      </c>
      <c r="AX118" s="29">
        <v>0</v>
      </c>
      <c r="AY118" s="29">
        <v>0</v>
      </c>
      <c r="AZ118" s="29">
        <v>0</v>
      </c>
      <c r="BA118" s="29">
        <v>0</v>
      </c>
      <c r="BB118" s="29">
        <v>0</v>
      </c>
      <c r="BC118" s="29">
        <v>0</v>
      </c>
      <c r="BD118" s="180">
        <v>0</v>
      </c>
      <c r="BE118" s="29">
        <v>0</v>
      </c>
      <c r="BF118" s="29">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361">
        <v>0</v>
      </c>
      <c r="CV118" s="189"/>
    </row>
    <row r="119" spans="1:100" ht="63.75" x14ac:dyDescent="0.2">
      <c r="A119" s="4" t="s">
        <v>1019</v>
      </c>
      <c r="B119" s="373" t="s">
        <v>1147</v>
      </c>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2"/>
      <c r="BE119" s="191"/>
      <c r="BF119" s="191"/>
      <c r="BG119" s="191"/>
      <c r="BH119" s="191"/>
      <c r="BI119" s="191"/>
      <c r="BJ119" s="191"/>
      <c r="BK119" s="191"/>
      <c r="BL119" s="191"/>
      <c r="BM119" s="191"/>
      <c r="BN119" s="191"/>
      <c r="BO119" s="191"/>
      <c r="BP119" s="191"/>
      <c r="BQ119" s="191"/>
      <c r="BR119" s="191"/>
      <c r="BS119" s="191"/>
      <c r="BT119" s="191"/>
      <c r="BU119" s="191"/>
      <c r="BV119" s="191"/>
      <c r="BW119" s="191"/>
      <c r="BX119" s="191"/>
      <c r="BY119" s="191"/>
      <c r="BZ119" s="191"/>
      <c r="CA119" s="191"/>
      <c r="CB119" s="191"/>
      <c r="CC119" s="191"/>
      <c r="CD119" s="191"/>
      <c r="CE119" s="191"/>
      <c r="CF119" s="191"/>
      <c r="CG119" s="191"/>
      <c r="CH119" s="191"/>
      <c r="CI119" s="191"/>
      <c r="CJ119" s="191"/>
      <c r="CK119" s="191"/>
      <c r="CL119" s="191"/>
      <c r="CM119" s="191"/>
      <c r="CN119" s="191"/>
      <c r="CO119" s="191"/>
      <c r="CP119" s="191"/>
      <c r="CQ119" s="191"/>
      <c r="CR119" s="191"/>
      <c r="CS119" s="191"/>
      <c r="CT119" s="191"/>
      <c r="CU119" s="367"/>
      <c r="CV119" s="189"/>
    </row>
    <row r="120" spans="1:100" ht="38.25" x14ac:dyDescent="0.2">
      <c r="A120" s="4" t="s">
        <v>1019</v>
      </c>
      <c r="B120" s="369" t="s">
        <v>1012</v>
      </c>
      <c r="C120" s="84">
        <f>SUM(D120:DX120)</f>
        <v>563024.55000000005</v>
      </c>
      <c r="D120" s="29">
        <v>0</v>
      </c>
      <c r="E120" s="29">
        <v>0</v>
      </c>
      <c r="F120" s="29">
        <v>0</v>
      </c>
      <c r="G120" s="29">
        <v>0</v>
      </c>
      <c r="H120" s="29">
        <v>0</v>
      </c>
      <c r="I120" s="29">
        <v>0</v>
      </c>
      <c r="J120" s="29">
        <v>0</v>
      </c>
      <c r="K120" s="29">
        <v>0</v>
      </c>
      <c r="L120" s="29">
        <v>0</v>
      </c>
      <c r="M120" s="29">
        <v>0</v>
      </c>
      <c r="N120" s="29">
        <v>9095</v>
      </c>
      <c r="O120" s="29">
        <v>0</v>
      </c>
      <c r="P120" s="29">
        <v>0</v>
      </c>
      <c r="Q120" s="29">
        <v>0</v>
      </c>
      <c r="R120" s="29">
        <v>0</v>
      </c>
      <c r="S120" s="29">
        <v>0</v>
      </c>
      <c r="T120" s="29">
        <v>0</v>
      </c>
      <c r="U120" s="29">
        <v>0</v>
      </c>
      <c r="V120" s="29">
        <v>501689.24</v>
      </c>
      <c r="W120" s="29">
        <v>0</v>
      </c>
      <c r="X120" s="29">
        <v>0</v>
      </c>
      <c r="Y120" s="29">
        <v>0</v>
      </c>
      <c r="Z120" s="29">
        <v>52240.31</v>
      </c>
      <c r="AA120" s="29">
        <v>0</v>
      </c>
      <c r="AB120" s="29">
        <v>0</v>
      </c>
      <c r="AC120" s="29">
        <v>0</v>
      </c>
      <c r="AD120" s="29">
        <v>0</v>
      </c>
      <c r="AE120" s="29">
        <v>0</v>
      </c>
      <c r="AF120" s="29">
        <v>0</v>
      </c>
      <c r="AG120" s="29">
        <v>0</v>
      </c>
      <c r="AH120" s="29">
        <v>0</v>
      </c>
      <c r="AI120" s="29">
        <v>0</v>
      </c>
      <c r="AJ120" s="29">
        <v>0</v>
      </c>
      <c r="AK120" s="29">
        <v>0</v>
      </c>
      <c r="AL120" s="29">
        <v>0</v>
      </c>
      <c r="AM120" s="29">
        <v>0</v>
      </c>
      <c r="AN120" s="29">
        <v>0</v>
      </c>
      <c r="AO120" s="29">
        <v>0</v>
      </c>
      <c r="AP120" s="29">
        <v>0</v>
      </c>
      <c r="AQ120" s="29">
        <v>0</v>
      </c>
      <c r="AR120" s="29">
        <v>0</v>
      </c>
      <c r="AS120" s="29">
        <v>0</v>
      </c>
      <c r="AT120" s="29">
        <v>0</v>
      </c>
      <c r="AU120" s="29">
        <v>0</v>
      </c>
      <c r="AV120" s="29">
        <v>0</v>
      </c>
      <c r="AW120" s="29">
        <v>0</v>
      </c>
      <c r="AX120" s="29">
        <v>0</v>
      </c>
      <c r="AY120" s="29">
        <v>0</v>
      </c>
      <c r="AZ120" s="29">
        <v>0</v>
      </c>
      <c r="BA120" s="29">
        <v>0</v>
      </c>
      <c r="BB120" s="29">
        <v>0</v>
      </c>
      <c r="BC120" s="29">
        <v>0</v>
      </c>
      <c r="BD120" s="180">
        <v>0</v>
      </c>
      <c r="BE120" s="29">
        <v>0</v>
      </c>
      <c r="BF120" s="29">
        <v>0</v>
      </c>
      <c r="BG120" s="29">
        <v>0</v>
      </c>
      <c r="BH120" s="29">
        <v>0</v>
      </c>
      <c r="BI120" s="29">
        <v>0</v>
      </c>
      <c r="BJ120" s="29">
        <v>0</v>
      </c>
      <c r="BK120" s="29">
        <v>0</v>
      </c>
      <c r="BL120" s="29">
        <v>0</v>
      </c>
      <c r="BM120" s="29">
        <v>0</v>
      </c>
      <c r="BN120" s="29">
        <v>0</v>
      </c>
      <c r="BO120" s="29">
        <v>0</v>
      </c>
      <c r="BP120" s="29">
        <v>0</v>
      </c>
      <c r="BQ120" s="29">
        <v>0</v>
      </c>
      <c r="BR120" s="29">
        <v>0</v>
      </c>
      <c r="BS120" s="29">
        <v>0</v>
      </c>
      <c r="BT120" s="29">
        <v>0</v>
      </c>
      <c r="BU120" s="29">
        <v>0</v>
      </c>
      <c r="BV120" s="29">
        <v>0</v>
      </c>
      <c r="BW120" s="29">
        <v>0</v>
      </c>
      <c r="BX120" s="29">
        <v>0</v>
      </c>
      <c r="BY120" s="29">
        <v>0</v>
      </c>
      <c r="BZ120" s="29">
        <v>0</v>
      </c>
      <c r="CA120" s="29">
        <v>0</v>
      </c>
      <c r="CB120" s="29">
        <v>0</v>
      </c>
      <c r="CC120" s="29">
        <v>0</v>
      </c>
      <c r="CD120" s="29">
        <v>0</v>
      </c>
      <c r="CE120" s="29">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29">
        <v>0</v>
      </c>
      <c r="CU120" s="361">
        <v>0</v>
      </c>
      <c r="CV120" s="189"/>
    </row>
    <row r="121" spans="1:100" ht="85.5" customHeight="1" x14ac:dyDescent="0.2">
      <c r="A121" s="4" t="s">
        <v>1019</v>
      </c>
      <c r="B121" s="369" t="s">
        <v>1148</v>
      </c>
      <c r="C121" s="84">
        <f>SUM(D121:DX121)</f>
        <v>1656839.2</v>
      </c>
      <c r="D121" s="29">
        <v>1335273.28</v>
      </c>
      <c r="E121" s="29">
        <v>81592.479999999996</v>
      </c>
      <c r="F121" s="29">
        <v>0</v>
      </c>
      <c r="G121" s="29">
        <v>0</v>
      </c>
      <c r="H121" s="29">
        <v>0</v>
      </c>
      <c r="I121" s="29">
        <v>0</v>
      </c>
      <c r="J121" s="29">
        <v>0</v>
      </c>
      <c r="K121" s="29">
        <v>0</v>
      </c>
      <c r="L121" s="29">
        <v>0</v>
      </c>
      <c r="M121" s="29">
        <v>0</v>
      </c>
      <c r="N121" s="29">
        <v>31853</v>
      </c>
      <c r="O121" s="29">
        <v>0</v>
      </c>
      <c r="P121" s="29">
        <v>0</v>
      </c>
      <c r="Q121" s="29">
        <v>0</v>
      </c>
      <c r="R121" s="29">
        <v>0</v>
      </c>
      <c r="S121" s="29">
        <v>0</v>
      </c>
      <c r="T121" s="29">
        <v>0</v>
      </c>
      <c r="U121" s="29">
        <v>0</v>
      </c>
      <c r="V121" s="29">
        <v>0</v>
      </c>
      <c r="W121" s="29">
        <v>15756.88</v>
      </c>
      <c r="X121" s="29">
        <v>0</v>
      </c>
      <c r="Y121" s="29">
        <v>0</v>
      </c>
      <c r="Z121" s="29">
        <v>192363.56</v>
      </c>
      <c r="AA121" s="29">
        <v>0</v>
      </c>
      <c r="AB121" s="29">
        <v>0</v>
      </c>
      <c r="AC121" s="29">
        <v>0</v>
      </c>
      <c r="AD121" s="29">
        <v>0</v>
      </c>
      <c r="AE121" s="29">
        <v>0</v>
      </c>
      <c r="AF121" s="29">
        <v>0</v>
      </c>
      <c r="AG121" s="29">
        <v>0</v>
      </c>
      <c r="AH121" s="29">
        <v>0</v>
      </c>
      <c r="AI121" s="29">
        <v>0</v>
      </c>
      <c r="AJ121" s="29">
        <v>0</v>
      </c>
      <c r="AK121" s="29">
        <v>0</v>
      </c>
      <c r="AL121" s="29">
        <v>0</v>
      </c>
      <c r="AM121" s="29">
        <v>0</v>
      </c>
      <c r="AN121" s="29">
        <v>0</v>
      </c>
      <c r="AO121" s="29">
        <v>0</v>
      </c>
      <c r="AP121" s="29">
        <v>0</v>
      </c>
      <c r="AQ121" s="29">
        <v>0</v>
      </c>
      <c r="AR121" s="29">
        <v>0</v>
      </c>
      <c r="AS121" s="29">
        <v>0</v>
      </c>
      <c r="AT121" s="29">
        <v>0</v>
      </c>
      <c r="AU121" s="29">
        <v>0</v>
      </c>
      <c r="AV121" s="29">
        <v>0</v>
      </c>
      <c r="AW121" s="29">
        <v>0</v>
      </c>
      <c r="AX121" s="29">
        <v>0</v>
      </c>
      <c r="AY121" s="29">
        <v>0</v>
      </c>
      <c r="AZ121" s="29">
        <v>0</v>
      </c>
      <c r="BA121" s="29">
        <v>0</v>
      </c>
      <c r="BB121" s="29">
        <v>0</v>
      </c>
      <c r="BC121" s="29">
        <v>0</v>
      </c>
      <c r="BD121" s="180">
        <v>0</v>
      </c>
      <c r="BE121" s="29">
        <v>0</v>
      </c>
      <c r="BF121" s="29">
        <v>0</v>
      </c>
      <c r="BG121" s="29">
        <v>0</v>
      </c>
      <c r="BH121" s="29">
        <v>0</v>
      </c>
      <c r="BI121" s="29">
        <v>0</v>
      </c>
      <c r="BJ121" s="29">
        <v>0</v>
      </c>
      <c r="BK121" s="29">
        <v>0</v>
      </c>
      <c r="BL121" s="29">
        <v>0</v>
      </c>
      <c r="BM121" s="29">
        <v>0</v>
      </c>
      <c r="BN121" s="29">
        <v>0</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0</v>
      </c>
      <c r="CU121" s="361">
        <v>0</v>
      </c>
      <c r="CV121" s="189"/>
    </row>
    <row r="122" spans="1:100" ht="13.5" thickBot="1" x14ac:dyDescent="0.25">
      <c r="A122" s="3" t="s">
        <v>120</v>
      </c>
      <c r="B122" s="31" t="s">
        <v>41</v>
      </c>
      <c r="C122" s="48">
        <f>SUM(D122:DX122)</f>
        <v>106162217.91999997</v>
      </c>
      <c r="D122" s="32">
        <f t="shared" ref="D122:AI122" si="99">SUM(D43:D121)</f>
        <v>24897372.869999997</v>
      </c>
      <c r="E122" s="32">
        <f t="shared" si="99"/>
        <v>4232471.93</v>
      </c>
      <c r="F122" s="32">
        <f t="shared" si="99"/>
        <v>0</v>
      </c>
      <c r="G122" s="32">
        <f t="shared" si="99"/>
        <v>27624285.59</v>
      </c>
      <c r="H122" s="32">
        <f t="shared" si="99"/>
        <v>3255868.71</v>
      </c>
      <c r="I122" s="32">
        <f t="shared" si="99"/>
        <v>768727.4</v>
      </c>
      <c r="J122" s="32">
        <f t="shared" si="99"/>
        <v>6492246.8599999994</v>
      </c>
      <c r="K122" s="32">
        <f t="shared" si="99"/>
        <v>0</v>
      </c>
      <c r="L122" s="32">
        <f t="shared" si="99"/>
        <v>0</v>
      </c>
      <c r="M122" s="32">
        <f t="shared" si="99"/>
        <v>164496.56</v>
      </c>
      <c r="N122" s="32">
        <f t="shared" si="99"/>
        <v>9256231.5600000005</v>
      </c>
      <c r="O122" s="32">
        <f t="shared" si="99"/>
        <v>676068</v>
      </c>
      <c r="P122" s="32">
        <f t="shared" si="99"/>
        <v>856877</v>
      </c>
      <c r="Q122" s="32">
        <f t="shared" si="99"/>
        <v>2463759</v>
      </c>
      <c r="R122" s="32">
        <f t="shared" si="99"/>
        <v>47613</v>
      </c>
      <c r="S122" s="32">
        <f t="shared" si="99"/>
        <v>421792</v>
      </c>
      <c r="T122" s="32">
        <f t="shared" si="99"/>
        <v>298504</v>
      </c>
      <c r="U122" s="32">
        <f t="shared" si="99"/>
        <v>13009</v>
      </c>
      <c r="V122" s="32">
        <f t="shared" si="99"/>
        <v>501689.24</v>
      </c>
      <c r="W122" s="32">
        <f t="shared" si="99"/>
        <v>160244.38</v>
      </c>
      <c r="X122" s="32">
        <f t="shared" si="99"/>
        <v>30753.17</v>
      </c>
      <c r="Y122" s="32">
        <f t="shared" si="99"/>
        <v>0</v>
      </c>
      <c r="Z122" s="32">
        <f t="shared" si="99"/>
        <v>1954141.3900000001</v>
      </c>
      <c r="AA122" s="32">
        <f t="shared" si="99"/>
        <v>148350.35999999999</v>
      </c>
      <c r="AB122" s="32">
        <f t="shared" si="99"/>
        <v>0</v>
      </c>
      <c r="AC122" s="32">
        <f t="shared" si="99"/>
        <v>0</v>
      </c>
      <c r="AD122" s="32">
        <f t="shared" si="99"/>
        <v>653786.96</v>
      </c>
      <c r="AE122" s="32">
        <f t="shared" si="99"/>
        <v>968510.5</v>
      </c>
      <c r="AF122" s="32">
        <f t="shared" si="99"/>
        <v>0</v>
      </c>
      <c r="AG122" s="32">
        <f t="shared" si="99"/>
        <v>51836.13</v>
      </c>
      <c r="AH122" s="32">
        <f t="shared" si="99"/>
        <v>55494</v>
      </c>
      <c r="AI122" s="32">
        <f t="shared" si="99"/>
        <v>803151.99</v>
      </c>
      <c r="AJ122" s="32">
        <f t="shared" ref="AJ122:BO122" si="100">SUM(AJ43:AJ121)</f>
        <v>0</v>
      </c>
      <c r="AK122" s="32">
        <f t="shared" si="100"/>
        <v>8201.26</v>
      </c>
      <c r="AL122" s="32">
        <f t="shared" si="100"/>
        <v>23254.959999999999</v>
      </c>
      <c r="AM122" s="32">
        <f t="shared" si="100"/>
        <v>525141.6</v>
      </c>
      <c r="AN122" s="32">
        <f t="shared" si="100"/>
        <v>120565.78999999995</v>
      </c>
      <c r="AO122" s="32">
        <f t="shared" si="100"/>
        <v>12709.28</v>
      </c>
      <c r="AP122" s="32">
        <f t="shared" si="100"/>
        <v>494656</v>
      </c>
      <c r="AQ122" s="32">
        <f t="shared" si="100"/>
        <v>152341.6</v>
      </c>
      <c r="AR122" s="32">
        <f t="shared" si="100"/>
        <v>302090.31</v>
      </c>
      <c r="AS122" s="32">
        <f t="shared" si="100"/>
        <v>770397.48</v>
      </c>
      <c r="AT122" s="32">
        <f t="shared" si="100"/>
        <v>0</v>
      </c>
      <c r="AU122" s="32">
        <f t="shared" si="100"/>
        <v>0</v>
      </c>
      <c r="AV122" s="32">
        <f t="shared" si="100"/>
        <v>0</v>
      </c>
      <c r="AW122" s="32">
        <f t="shared" si="100"/>
        <v>2504176.66</v>
      </c>
      <c r="AX122" s="32">
        <f t="shared" si="100"/>
        <v>79703.360000000001</v>
      </c>
      <c r="AY122" s="32">
        <f t="shared" si="100"/>
        <v>0</v>
      </c>
      <c r="AZ122" s="32">
        <f t="shared" si="100"/>
        <v>2502591.8499999996</v>
      </c>
      <c r="BA122" s="32">
        <f t="shared" si="100"/>
        <v>429816.49</v>
      </c>
      <c r="BB122" s="32">
        <f t="shared" si="100"/>
        <v>1341332.19</v>
      </c>
      <c r="BC122" s="32">
        <f t="shared" si="100"/>
        <v>514724.03</v>
      </c>
      <c r="BD122" s="374">
        <f t="shared" si="100"/>
        <v>964706.96</v>
      </c>
      <c r="BE122" s="32">
        <f t="shared" si="100"/>
        <v>1149.6400000000001</v>
      </c>
      <c r="BF122" s="32">
        <f t="shared" si="100"/>
        <v>803560.29</v>
      </c>
      <c r="BG122" s="32">
        <f t="shared" si="100"/>
        <v>84317</v>
      </c>
      <c r="BH122" s="32">
        <f t="shared" si="100"/>
        <v>45651</v>
      </c>
      <c r="BI122" s="32">
        <f t="shared" si="100"/>
        <v>0</v>
      </c>
      <c r="BJ122" s="32">
        <f t="shared" si="100"/>
        <v>1038899.4</v>
      </c>
      <c r="BK122" s="32">
        <f t="shared" si="100"/>
        <v>0</v>
      </c>
      <c r="BL122" s="32">
        <f t="shared" si="100"/>
        <v>104261.77</v>
      </c>
      <c r="BM122" s="32">
        <f t="shared" si="100"/>
        <v>0</v>
      </c>
      <c r="BN122" s="32">
        <f t="shared" si="100"/>
        <v>0</v>
      </c>
      <c r="BO122" s="32">
        <f t="shared" si="100"/>
        <v>33278</v>
      </c>
      <c r="BP122" s="32">
        <f t="shared" ref="BP122:CU122" si="101">SUM(BP43:BP121)</f>
        <v>0</v>
      </c>
      <c r="BQ122" s="32">
        <f t="shared" si="101"/>
        <v>0</v>
      </c>
      <c r="BR122" s="32">
        <f t="shared" si="101"/>
        <v>0</v>
      </c>
      <c r="BS122" s="32">
        <f t="shared" si="101"/>
        <v>0</v>
      </c>
      <c r="BT122" s="32">
        <f t="shared" si="101"/>
        <v>0</v>
      </c>
      <c r="BU122" s="32">
        <f t="shared" si="101"/>
        <v>0</v>
      </c>
      <c r="BV122" s="32">
        <f t="shared" si="101"/>
        <v>0</v>
      </c>
      <c r="BW122" s="32">
        <f t="shared" si="101"/>
        <v>1083398.8</v>
      </c>
      <c r="BX122" s="32">
        <f t="shared" si="101"/>
        <v>464549.73</v>
      </c>
      <c r="BY122" s="32">
        <f t="shared" si="101"/>
        <v>30</v>
      </c>
      <c r="BZ122" s="32">
        <f t="shared" si="101"/>
        <v>0</v>
      </c>
      <c r="CA122" s="32">
        <f t="shared" si="101"/>
        <v>70256</v>
      </c>
      <c r="CB122" s="32">
        <f t="shared" si="101"/>
        <v>199718</v>
      </c>
      <c r="CC122" s="32">
        <f t="shared" si="101"/>
        <v>10000</v>
      </c>
      <c r="CD122" s="32">
        <f t="shared" si="101"/>
        <v>220190</v>
      </c>
      <c r="CE122" s="32">
        <f t="shared" si="101"/>
        <v>154471</v>
      </c>
      <c r="CF122" s="32">
        <f t="shared" si="101"/>
        <v>128467</v>
      </c>
      <c r="CG122" s="32">
        <f t="shared" si="101"/>
        <v>148151</v>
      </c>
      <c r="CH122" s="32">
        <f t="shared" si="101"/>
        <v>940511</v>
      </c>
      <c r="CI122" s="32">
        <f t="shared" si="101"/>
        <v>1353263</v>
      </c>
      <c r="CJ122" s="32">
        <f t="shared" si="101"/>
        <v>1411843</v>
      </c>
      <c r="CK122" s="32">
        <f t="shared" si="101"/>
        <v>30560</v>
      </c>
      <c r="CL122" s="32">
        <f t="shared" si="101"/>
        <v>144190</v>
      </c>
      <c r="CM122" s="32">
        <f t="shared" si="101"/>
        <v>76466.87</v>
      </c>
      <c r="CN122" s="32">
        <f t="shared" si="101"/>
        <v>0</v>
      </c>
      <c r="CO122" s="32">
        <f t="shared" si="101"/>
        <v>0</v>
      </c>
      <c r="CP122" s="32">
        <f t="shared" si="101"/>
        <v>62823</v>
      </c>
      <c r="CQ122" s="32">
        <f t="shared" si="101"/>
        <v>0</v>
      </c>
      <c r="CR122" s="32">
        <f t="shared" si="101"/>
        <v>1021</v>
      </c>
      <c r="CS122" s="32">
        <f t="shared" si="101"/>
        <v>0</v>
      </c>
      <c r="CT122" s="32">
        <f t="shared" si="101"/>
        <v>7500</v>
      </c>
      <c r="CU122" s="375">
        <f t="shared" si="101"/>
        <v>0</v>
      </c>
      <c r="CV122" s="189"/>
    </row>
    <row r="123" spans="1:100" ht="13.5" thickBot="1" x14ac:dyDescent="0.25">
      <c r="A123" s="3"/>
      <c r="B123" s="22"/>
      <c r="C123" s="77"/>
      <c r="D123" s="9"/>
      <c r="E123" s="9"/>
      <c r="F123" s="9"/>
      <c r="G123" s="9"/>
      <c r="H123" s="9"/>
      <c r="I123" s="9"/>
      <c r="J123" s="9"/>
      <c r="K123" s="9"/>
      <c r="L123" s="9"/>
      <c r="M123" s="93"/>
      <c r="N123" s="93"/>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189"/>
    </row>
    <row r="124" spans="1:100" ht="25.5" x14ac:dyDescent="0.2">
      <c r="A124" s="23" t="s">
        <v>121</v>
      </c>
      <c r="B124" s="21" t="s">
        <v>55</v>
      </c>
      <c r="C124" s="33"/>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6"/>
      <c r="AC124" s="336"/>
      <c r="AD124" s="336"/>
      <c r="AE124" s="336"/>
      <c r="AF124" s="336"/>
      <c r="AG124" s="336"/>
      <c r="AH124" s="336"/>
      <c r="AI124" s="336"/>
      <c r="AJ124" s="336"/>
      <c r="AK124" s="336"/>
      <c r="AL124" s="336"/>
      <c r="AM124" s="336"/>
      <c r="AN124" s="336"/>
      <c r="AO124" s="336"/>
      <c r="AP124" s="336"/>
      <c r="AQ124" s="336"/>
      <c r="AR124" s="336"/>
      <c r="AS124" s="336"/>
      <c r="AT124" s="336"/>
      <c r="AU124" s="336"/>
      <c r="AV124" s="336"/>
      <c r="AW124" s="336"/>
      <c r="AX124" s="336"/>
      <c r="AY124" s="336"/>
      <c r="AZ124" s="336"/>
      <c r="BA124" s="336"/>
      <c r="BB124" s="336"/>
      <c r="BC124" s="336"/>
      <c r="BD124" s="355"/>
      <c r="BE124" s="336"/>
      <c r="BF124" s="336"/>
      <c r="BG124" s="336"/>
      <c r="BH124" s="336"/>
      <c r="BI124" s="336"/>
      <c r="BJ124" s="336"/>
      <c r="BK124" s="336"/>
      <c r="BL124" s="336"/>
      <c r="BM124" s="336"/>
      <c r="BN124" s="336"/>
      <c r="BO124" s="336"/>
      <c r="BP124" s="336"/>
      <c r="BQ124" s="336"/>
      <c r="BR124" s="336"/>
      <c r="BS124" s="336"/>
      <c r="BT124" s="336"/>
      <c r="BU124" s="336"/>
      <c r="BV124" s="336"/>
      <c r="BW124" s="336"/>
      <c r="BX124" s="336"/>
      <c r="BY124" s="336"/>
      <c r="BZ124" s="336"/>
      <c r="CA124" s="336"/>
      <c r="CB124" s="336"/>
      <c r="CC124" s="336"/>
      <c r="CD124" s="336"/>
      <c r="CE124" s="336"/>
      <c r="CF124" s="336"/>
      <c r="CG124" s="336"/>
      <c r="CH124" s="336"/>
      <c r="CI124" s="336"/>
      <c r="CJ124" s="336"/>
      <c r="CK124" s="336"/>
      <c r="CL124" s="336"/>
      <c r="CM124" s="336"/>
      <c r="CN124" s="336"/>
      <c r="CO124" s="336"/>
      <c r="CP124" s="336"/>
      <c r="CQ124" s="336"/>
      <c r="CR124" s="336"/>
      <c r="CS124" s="336"/>
      <c r="CT124" s="336"/>
      <c r="CU124" s="356"/>
      <c r="CV124" s="189"/>
    </row>
    <row r="125" spans="1:100" x14ac:dyDescent="0.2">
      <c r="A125" s="3"/>
      <c r="B125" s="91" t="s">
        <v>766</v>
      </c>
      <c r="C125" s="55">
        <f>SUM(D125:DX125)</f>
        <v>1835850</v>
      </c>
      <c r="D125" s="28">
        <v>0</v>
      </c>
      <c r="E125" s="28">
        <v>0</v>
      </c>
      <c r="F125" s="28">
        <v>0</v>
      </c>
      <c r="G125" s="28">
        <v>0</v>
      </c>
      <c r="H125" s="28">
        <v>0</v>
      </c>
      <c r="I125" s="28">
        <v>0</v>
      </c>
      <c r="J125" s="28">
        <v>0</v>
      </c>
      <c r="K125" s="28">
        <v>0</v>
      </c>
      <c r="L125" s="28">
        <v>0</v>
      </c>
      <c r="M125" s="28">
        <v>0</v>
      </c>
      <c r="N125" s="28">
        <v>0</v>
      </c>
      <c r="O125" s="28">
        <v>0</v>
      </c>
      <c r="P125" s="28">
        <v>0</v>
      </c>
      <c r="Q125" s="28">
        <v>0</v>
      </c>
      <c r="R125" s="28">
        <v>0</v>
      </c>
      <c r="S125" s="28">
        <v>0</v>
      </c>
      <c r="T125" s="28">
        <v>0</v>
      </c>
      <c r="U125" s="28">
        <v>0</v>
      </c>
      <c r="V125" s="28">
        <v>0</v>
      </c>
      <c r="W125" s="28">
        <v>0</v>
      </c>
      <c r="X125" s="28">
        <v>0</v>
      </c>
      <c r="Y125" s="28">
        <v>0</v>
      </c>
      <c r="Z125" s="28">
        <v>0</v>
      </c>
      <c r="AA125" s="28">
        <v>0</v>
      </c>
      <c r="AB125" s="28">
        <v>0</v>
      </c>
      <c r="AC125" s="28">
        <v>0</v>
      </c>
      <c r="AD125" s="28">
        <v>0</v>
      </c>
      <c r="AE125" s="28">
        <v>0</v>
      </c>
      <c r="AF125" s="28">
        <v>0</v>
      </c>
      <c r="AG125" s="28">
        <v>0</v>
      </c>
      <c r="AH125" s="28">
        <v>0</v>
      </c>
      <c r="AI125" s="28">
        <v>0</v>
      </c>
      <c r="AJ125" s="28">
        <v>0</v>
      </c>
      <c r="AK125" s="28">
        <v>0</v>
      </c>
      <c r="AL125" s="28">
        <v>0</v>
      </c>
      <c r="AM125" s="28">
        <v>0</v>
      </c>
      <c r="AN125" s="28">
        <v>0</v>
      </c>
      <c r="AO125" s="28">
        <v>0</v>
      </c>
      <c r="AP125" s="28">
        <v>0</v>
      </c>
      <c r="AQ125" s="28">
        <v>0</v>
      </c>
      <c r="AR125" s="28">
        <v>0</v>
      </c>
      <c r="AS125" s="28">
        <v>0</v>
      </c>
      <c r="AT125" s="28">
        <v>0</v>
      </c>
      <c r="AU125" s="28">
        <v>1835850</v>
      </c>
      <c r="AV125" s="28">
        <v>0</v>
      </c>
      <c r="AW125" s="28">
        <v>0</v>
      </c>
      <c r="AX125" s="28">
        <v>0</v>
      </c>
      <c r="AY125" s="28">
        <v>0</v>
      </c>
      <c r="AZ125" s="28">
        <v>0</v>
      </c>
      <c r="BA125" s="28">
        <v>0</v>
      </c>
      <c r="BB125" s="28">
        <v>0</v>
      </c>
      <c r="BC125" s="28">
        <v>0</v>
      </c>
      <c r="BD125" s="183">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0</v>
      </c>
      <c r="CK125" s="28">
        <v>0</v>
      </c>
      <c r="CL125" s="28">
        <v>0</v>
      </c>
      <c r="CM125" s="28">
        <v>0</v>
      </c>
      <c r="CN125" s="28">
        <v>0</v>
      </c>
      <c r="CO125" s="28">
        <v>0</v>
      </c>
      <c r="CP125" s="28">
        <v>0</v>
      </c>
      <c r="CQ125" s="28">
        <v>0</v>
      </c>
      <c r="CR125" s="28">
        <v>0</v>
      </c>
      <c r="CS125" s="28">
        <v>0</v>
      </c>
      <c r="CT125" s="28">
        <v>0</v>
      </c>
      <c r="CU125" s="353">
        <v>0</v>
      </c>
      <c r="CV125" s="189"/>
    </row>
    <row r="126" spans="1:100" ht="13.5" thickBot="1" x14ac:dyDescent="0.25">
      <c r="A126" s="3" t="s">
        <v>122</v>
      </c>
      <c r="B126" s="42" t="s">
        <v>39</v>
      </c>
      <c r="C126" s="53">
        <f>SUM(D126:DX126)</f>
        <v>1835850</v>
      </c>
      <c r="D126" s="43">
        <f t="shared" ref="D126:AI126" si="102">SUM(D125:D125)</f>
        <v>0</v>
      </c>
      <c r="E126" s="43">
        <f t="shared" si="102"/>
        <v>0</v>
      </c>
      <c r="F126" s="43">
        <f t="shared" si="102"/>
        <v>0</v>
      </c>
      <c r="G126" s="43">
        <f t="shared" si="102"/>
        <v>0</v>
      </c>
      <c r="H126" s="43">
        <f t="shared" si="102"/>
        <v>0</v>
      </c>
      <c r="I126" s="43">
        <f t="shared" si="102"/>
        <v>0</v>
      </c>
      <c r="J126" s="43">
        <f t="shared" si="102"/>
        <v>0</v>
      </c>
      <c r="K126" s="43">
        <f t="shared" si="102"/>
        <v>0</v>
      </c>
      <c r="L126" s="43">
        <f t="shared" si="102"/>
        <v>0</v>
      </c>
      <c r="M126" s="43">
        <f t="shared" si="102"/>
        <v>0</v>
      </c>
      <c r="N126" s="43">
        <f t="shared" si="102"/>
        <v>0</v>
      </c>
      <c r="O126" s="43">
        <f t="shared" si="102"/>
        <v>0</v>
      </c>
      <c r="P126" s="43">
        <f t="shared" si="102"/>
        <v>0</v>
      </c>
      <c r="Q126" s="43">
        <f t="shared" si="102"/>
        <v>0</v>
      </c>
      <c r="R126" s="43">
        <f t="shared" si="102"/>
        <v>0</v>
      </c>
      <c r="S126" s="43">
        <f t="shared" si="102"/>
        <v>0</v>
      </c>
      <c r="T126" s="43">
        <f t="shared" si="102"/>
        <v>0</v>
      </c>
      <c r="U126" s="43">
        <f t="shared" si="102"/>
        <v>0</v>
      </c>
      <c r="V126" s="43">
        <f t="shared" si="102"/>
        <v>0</v>
      </c>
      <c r="W126" s="43">
        <f t="shared" si="102"/>
        <v>0</v>
      </c>
      <c r="X126" s="43">
        <f t="shared" si="102"/>
        <v>0</v>
      </c>
      <c r="Y126" s="43">
        <f t="shared" si="102"/>
        <v>0</v>
      </c>
      <c r="Z126" s="43">
        <f t="shared" si="102"/>
        <v>0</v>
      </c>
      <c r="AA126" s="43">
        <f t="shared" si="102"/>
        <v>0</v>
      </c>
      <c r="AB126" s="43">
        <f t="shared" si="102"/>
        <v>0</v>
      </c>
      <c r="AC126" s="43">
        <f t="shared" si="102"/>
        <v>0</v>
      </c>
      <c r="AD126" s="43">
        <f t="shared" si="102"/>
        <v>0</v>
      </c>
      <c r="AE126" s="43">
        <f t="shared" si="102"/>
        <v>0</v>
      </c>
      <c r="AF126" s="43">
        <f t="shared" si="102"/>
        <v>0</v>
      </c>
      <c r="AG126" s="43">
        <f t="shared" si="102"/>
        <v>0</v>
      </c>
      <c r="AH126" s="43">
        <f t="shared" si="102"/>
        <v>0</v>
      </c>
      <c r="AI126" s="43">
        <f t="shared" si="102"/>
        <v>0</v>
      </c>
      <c r="AJ126" s="43">
        <f t="shared" ref="AJ126:BO126" si="103">SUM(AJ125:AJ125)</f>
        <v>0</v>
      </c>
      <c r="AK126" s="43">
        <f t="shared" si="103"/>
        <v>0</v>
      </c>
      <c r="AL126" s="43">
        <f t="shared" si="103"/>
        <v>0</v>
      </c>
      <c r="AM126" s="43">
        <f t="shared" si="103"/>
        <v>0</v>
      </c>
      <c r="AN126" s="43">
        <f t="shared" si="103"/>
        <v>0</v>
      </c>
      <c r="AO126" s="43">
        <f t="shared" si="103"/>
        <v>0</v>
      </c>
      <c r="AP126" s="43">
        <f t="shared" si="103"/>
        <v>0</v>
      </c>
      <c r="AQ126" s="43">
        <f t="shared" si="103"/>
        <v>0</v>
      </c>
      <c r="AR126" s="43">
        <f t="shared" si="103"/>
        <v>0</v>
      </c>
      <c r="AS126" s="43">
        <f t="shared" si="103"/>
        <v>0</v>
      </c>
      <c r="AT126" s="43">
        <f t="shared" si="103"/>
        <v>0</v>
      </c>
      <c r="AU126" s="43">
        <f t="shared" si="103"/>
        <v>1835850</v>
      </c>
      <c r="AV126" s="43">
        <f t="shared" si="103"/>
        <v>0</v>
      </c>
      <c r="AW126" s="43">
        <f t="shared" si="103"/>
        <v>0</v>
      </c>
      <c r="AX126" s="43">
        <f t="shared" si="103"/>
        <v>0</v>
      </c>
      <c r="AY126" s="43">
        <f t="shared" si="103"/>
        <v>0</v>
      </c>
      <c r="AZ126" s="43">
        <f t="shared" si="103"/>
        <v>0</v>
      </c>
      <c r="BA126" s="43">
        <f t="shared" si="103"/>
        <v>0</v>
      </c>
      <c r="BB126" s="43">
        <f t="shared" si="103"/>
        <v>0</v>
      </c>
      <c r="BC126" s="43">
        <f t="shared" si="103"/>
        <v>0</v>
      </c>
      <c r="BD126" s="357">
        <f t="shared" si="103"/>
        <v>0</v>
      </c>
      <c r="BE126" s="43">
        <f t="shared" si="103"/>
        <v>0</v>
      </c>
      <c r="BF126" s="43">
        <f t="shared" si="103"/>
        <v>0</v>
      </c>
      <c r="BG126" s="43">
        <f t="shared" si="103"/>
        <v>0</v>
      </c>
      <c r="BH126" s="43">
        <f t="shared" si="103"/>
        <v>0</v>
      </c>
      <c r="BI126" s="43">
        <f t="shared" si="103"/>
        <v>0</v>
      </c>
      <c r="BJ126" s="43">
        <f t="shared" si="103"/>
        <v>0</v>
      </c>
      <c r="BK126" s="43">
        <f t="shared" si="103"/>
        <v>0</v>
      </c>
      <c r="BL126" s="43">
        <f t="shared" si="103"/>
        <v>0</v>
      </c>
      <c r="BM126" s="43">
        <f t="shared" si="103"/>
        <v>0</v>
      </c>
      <c r="BN126" s="43">
        <f t="shared" si="103"/>
        <v>0</v>
      </c>
      <c r="BO126" s="43">
        <f t="shared" si="103"/>
        <v>0</v>
      </c>
      <c r="BP126" s="43">
        <f t="shared" ref="BP126:CU126" si="104">SUM(BP125:BP125)</f>
        <v>0</v>
      </c>
      <c r="BQ126" s="43">
        <f t="shared" si="104"/>
        <v>0</v>
      </c>
      <c r="BR126" s="43">
        <f t="shared" si="104"/>
        <v>0</v>
      </c>
      <c r="BS126" s="43">
        <f t="shared" si="104"/>
        <v>0</v>
      </c>
      <c r="BT126" s="43">
        <f t="shared" si="104"/>
        <v>0</v>
      </c>
      <c r="BU126" s="43">
        <f t="shared" si="104"/>
        <v>0</v>
      </c>
      <c r="BV126" s="43">
        <f t="shared" si="104"/>
        <v>0</v>
      </c>
      <c r="BW126" s="43">
        <f t="shared" si="104"/>
        <v>0</v>
      </c>
      <c r="BX126" s="43">
        <f t="shared" si="104"/>
        <v>0</v>
      </c>
      <c r="BY126" s="43">
        <f t="shared" si="104"/>
        <v>0</v>
      </c>
      <c r="BZ126" s="43">
        <f t="shared" si="104"/>
        <v>0</v>
      </c>
      <c r="CA126" s="43">
        <f t="shared" si="104"/>
        <v>0</v>
      </c>
      <c r="CB126" s="43">
        <f t="shared" si="104"/>
        <v>0</v>
      </c>
      <c r="CC126" s="43">
        <f t="shared" si="104"/>
        <v>0</v>
      </c>
      <c r="CD126" s="43">
        <f t="shared" si="104"/>
        <v>0</v>
      </c>
      <c r="CE126" s="43">
        <f t="shared" si="104"/>
        <v>0</v>
      </c>
      <c r="CF126" s="43">
        <f t="shared" si="104"/>
        <v>0</v>
      </c>
      <c r="CG126" s="43">
        <f t="shared" si="104"/>
        <v>0</v>
      </c>
      <c r="CH126" s="43">
        <f t="shared" si="104"/>
        <v>0</v>
      </c>
      <c r="CI126" s="43">
        <f t="shared" si="104"/>
        <v>0</v>
      </c>
      <c r="CJ126" s="43">
        <f t="shared" si="104"/>
        <v>0</v>
      </c>
      <c r="CK126" s="43">
        <f t="shared" si="104"/>
        <v>0</v>
      </c>
      <c r="CL126" s="43">
        <f t="shared" si="104"/>
        <v>0</v>
      </c>
      <c r="CM126" s="43">
        <f t="shared" si="104"/>
        <v>0</v>
      </c>
      <c r="CN126" s="43">
        <f t="shared" si="104"/>
        <v>0</v>
      </c>
      <c r="CO126" s="43">
        <f t="shared" si="104"/>
        <v>0</v>
      </c>
      <c r="CP126" s="43">
        <f t="shared" si="104"/>
        <v>0</v>
      </c>
      <c r="CQ126" s="43">
        <f t="shared" si="104"/>
        <v>0</v>
      </c>
      <c r="CR126" s="43">
        <f t="shared" si="104"/>
        <v>0</v>
      </c>
      <c r="CS126" s="43">
        <f t="shared" si="104"/>
        <v>0</v>
      </c>
      <c r="CT126" s="43">
        <f t="shared" si="104"/>
        <v>0</v>
      </c>
      <c r="CU126" s="358">
        <f t="shared" si="104"/>
        <v>0</v>
      </c>
      <c r="CV126" s="189"/>
    </row>
    <row r="127" spans="1:100" ht="13.5" thickBot="1" x14ac:dyDescent="0.25">
      <c r="A127" s="23"/>
      <c r="B127" s="11"/>
      <c r="C127" s="71"/>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189"/>
    </row>
    <row r="128" spans="1:100" s="105" customFormat="1" ht="39" hidden="1" outlineLevel="1" thickBot="1" x14ac:dyDescent="0.25">
      <c r="A128" s="23"/>
      <c r="B128" s="11"/>
      <c r="C128" s="71"/>
      <c r="D128" s="164" t="s">
        <v>210</v>
      </c>
      <c r="E128" s="164" t="s">
        <v>210</v>
      </c>
      <c r="F128" s="164" t="s">
        <v>210</v>
      </c>
      <c r="G128" s="164" t="s">
        <v>210</v>
      </c>
      <c r="H128" s="164" t="s">
        <v>210</v>
      </c>
      <c r="I128" s="164" t="s">
        <v>210</v>
      </c>
      <c r="J128" s="164" t="s">
        <v>210</v>
      </c>
      <c r="K128" s="164" t="s">
        <v>210</v>
      </c>
      <c r="L128" s="164" t="s">
        <v>210</v>
      </c>
      <c r="M128" s="164" t="s">
        <v>210</v>
      </c>
      <c r="N128" s="164" t="s">
        <v>210</v>
      </c>
      <c r="O128" s="156" t="s">
        <v>1062</v>
      </c>
      <c r="P128" s="156" t="s">
        <v>1062</v>
      </c>
      <c r="Q128" s="156" t="s">
        <v>1062</v>
      </c>
      <c r="R128" s="156" t="s">
        <v>1062</v>
      </c>
      <c r="S128" s="156" t="s">
        <v>1062</v>
      </c>
      <c r="T128" s="156" t="s">
        <v>1062</v>
      </c>
      <c r="U128" s="157" t="s">
        <v>1063</v>
      </c>
      <c r="V128" s="157" t="s">
        <v>1063</v>
      </c>
      <c r="W128" s="157" t="s">
        <v>1063</v>
      </c>
      <c r="X128" s="157" t="s">
        <v>1063</v>
      </c>
      <c r="Y128" s="157" t="s">
        <v>1063</v>
      </c>
      <c r="Z128" s="157" t="s">
        <v>1063</v>
      </c>
      <c r="AA128" s="157" t="s">
        <v>1063</v>
      </c>
      <c r="AB128" s="157" t="s">
        <v>1063</v>
      </c>
      <c r="AC128" s="157" t="s">
        <v>1063</v>
      </c>
      <c r="AD128" s="157" t="s">
        <v>1063</v>
      </c>
      <c r="AE128" s="157" t="s">
        <v>1063</v>
      </c>
      <c r="AF128" s="157" t="s">
        <v>1063</v>
      </c>
      <c r="AG128" s="157" t="s">
        <v>1063</v>
      </c>
      <c r="AH128" s="157" t="s">
        <v>1063</v>
      </c>
      <c r="AI128" s="157" t="s">
        <v>1063</v>
      </c>
      <c r="AJ128" s="157" t="s">
        <v>1063</v>
      </c>
      <c r="AK128" s="157" t="s">
        <v>1063</v>
      </c>
      <c r="AL128" s="158" t="s">
        <v>1064</v>
      </c>
      <c r="AM128" s="158" t="s">
        <v>1064</v>
      </c>
      <c r="AN128" s="158" t="s">
        <v>1064</v>
      </c>
      <c r="AO128" s="158" t="s">
        <v>1064</v>
      </c>
      <c r="AP128" s="158" t="s">
        <v>1064</v>
      </c>
      <c r="AQ128" s="158" t="s">
        <v>1064</v>
      </c>
      <c r="AR128" s="158" t="s">
        <v>1064</v>
      </c>
      <c r="AS128" s="158" t="s">
        <v>1064</v>
      </c>
      <c r="AT128" s="158" t="s">
        <v>1064</v>
      </c>
      <c r="AU128" s="158" t="s">
        <v>1064</v>
      </c>
      <c r="AV128" s="158" t="s">
        <v>1064</v>
      </c>
      <c r="AW128" s="159" t="s">
        <v>1065</v>
      </c>
      <c r="AX128" s="159" t="s">
        <v>1065</v>
      </c>
      <c r="AY128" s="159" t="s">
        <v>1065</v>
      </c>
      <c r="AZ128" s="159" t="s">
        <v>1065</v>
      </c>
      <c r="BA128" s="159" t="s">
        <v>1065</v>
      </c>
      <c r="BB128" s="159" t="s">
        <v>1065</v>
      </c>
      <c r="BC128" s="159" t="s">
        <v>1065</v>
      </c>
      <c r="BD128" s="160" t="s">
        <v>456</v>
      </c>
      <c r="BE128" s="160" t="s">
        <v>456</v>
      </c>
      <c r="BF128" s="160" t="s">
        <v>456</v>
      </c>
      <c r="BG128" s="160" t="s">
        <v>456</v>
      </c>
      <c r="BH128" s="160" t="s">
        <v>456</v>
      </c>
      <c r="BI128" s="160" t="s">
        <v>456</v>
      </c>
      <c r="BJ128" s="160" t="s">
        <v>456</v>
      </c>
      <c r="BK128" s="160" t="s">
        <v>456</v>
      </c>
      <c r="BL128" s="160" t="s">
        <v>456</v>
      </c>
      <c r="BM128" s="160" t="s">
        <v>456</v>
      </c>
      <c r="BN128" s="160" t="s">
        <v>456</v>
      </c>
      <c r="BO128" s="160" t="s">
        <v>456</v>
      </c>
      <c r="BP128" s="160" t="s">
        <v>456</v>
      </c>
      <c r="BQ128" s="160" t="s">
        <v>456</v>
      </c>
      <c r="BR128" s="160" t="s">
        <v>456</v>
      </c>
      <c r="BS128" s="160" t="s">
        <v>456</v>
      </c>
      <c r="BT128" s="160" t="s">
        <v>456</v>
      </c>
      <c r="BU128" s="160" t="s">
        <v>456</v>
      </c>
      <c r="BV128" s="160" t="s">
        <v>456</v>
      </c>
      <c r="BW128" s="160" t="s">
        <v>456</v>
      </c>
      <c r="BX128" s="160" t="s">
        <v>456</v>
      </c>
      <c r="BY128" s="160" t="s">
        <v>456</v>
      </c>
      <c r="BZ128" s="160" t="s">
        <v>456</v>
      </c>
      <c r="CA128" s="160" t="s">
        <v>456</v>
      </c>
      <c r="CB128" s="160" t="s">
        <v>456</v>
      </c>
      <c r="CC128" s="160" t="s">
        <v>456</v>
      </c>
      <c r="CD128" s="160" t="s">
        <v>456</v>
      </c>
      <c r="CE128" s="160" t="s">
        <v>456</v>
      </c>
      <c r="CF128" s="160" t="s">
        <v>456</v>
      </c>
      <c r="CG128" s="160" t="s">
        <v>456</v>
      </c>
      <c r="CH128" s="160" t="s">
        <v>456</v>
      </c>
      <c r="CI128" s="160" t="s">
        <v>456</v>
      </c>
      <c r="CJ128" s="160" t="s">
        <v>456</v>
      </c>
      <c r="CK128" s="160" t="s">
        <v>456</v>
      </c>
      <c r="CL128" s="160" t="s">
        <v>456</v>
      </c>
      <c r="CM128" s="160" t="s">
        <v>456</v>
      </c>
      <c r="CN128" s="160" t="s">
        <v>456</v>
      </c>
      <c r="CO128" s="160" t="s">
        <v>456</v>
      </c>
      <c r="CP128" s="160" t="s">
        <v>456</v>
      </c>
      <c r="CQ128" s="160" t="s">
        <v>456</v>
      </c>
      <c r="CR128" s="160" t="s">
        <v>456</v>
      </c>
      <c r="CS128" s="160" t="s">
        <v>456</v>
      </c>
      <c r="CT128" s="160" t="s">
        <v>456</v>
      </c>
      <c r="CU128" s="160" t="s">
        <v>456</v>
      </c>
      <c r="CV128" s="189"/>
    </row>
    <row r="129" spans="1:100" s="10" customFormat="1" ht="26.25" customHeight="1" collapsed="1" x14ac:dyDescent="0.2">
      <c r="A129" s="23"/>
      <c r="B129" s="24" t="s">
        <v>90</v>
      </c>
      <c r="C129" s="161" t="s">
        <v>1070</v>
      </c>
      <c r="D129" s="338" t="s">
        <v>1071</v>
      </c>
      <c r="E129" s="346"/>
      <c r="F129" s="346"/>
      <c r="G129" s="346"/>
      <c r="H129" s="346"/>
      <c r="I129" s="346"/>
      <c r="J129" s="346"/>
      <c r="K129" s="346"/>
      <c r="L129" s="346"/>
      <c r="M129" s="346"/>
      <c r="N129" s="346"/>
      <c r="O129" s="346"/>
      <c r="P129" s="346"/>
      <c r="Q129" s="346"/>
      <c r="R129" s="346"/>
      <c r="S129" s="346"/>
      <c r="T129" s="346"/>
      <c r="U129" s="346"/>
      <c r="V129" s="346"/>
      <c r="W129" s="346"/>
      <c r="X129" s="346"/>
      <c r="Y129" s="346"/>
      <c r="Z129" s="346"/>
      <c r="AA129" s="346"/>
      <c r="AB129" s="346"/>
      <c r="AC129" s="346"/>
      <c r="AD129" s="346"/>
      <c r="AE129" s="346"/>
      <c r="AF129" s="346"/>
      <c r="AG129" s="346"/>
      <c r="AH129" s="346"/>
      <c r="AI129" s="346"/>
      <c r="AJ129" s="346"/>
      <c r="AK129" s="346"/>
      <c r="AL129" s="346"/>
      <c r="AM129" s="346"/>
      <c r="AN129" s="346"/>
      <c r="AO129" s="346"/>
      <c r="AP129" s="346"/>
      <c r="AQ129" s="346"/>
      <c r="AR129" s="346"/>
      <c r="AS129" s="346"/>
      <c r="AT129" s="346"/>
      <c r="AU129" s="346"/>
      <c r="AV129" s="346"/>
      <c r="AW129" s="346"/>
      <c r="AX129" s="346"/>
      <c r="AY129" s="346"/>
      <c r="AZ129" s="346"/>
      <c r="BA129" s="346"/>
      <c r="BB129" s="346"/>
      <c r="BC129" s="346"/>
      <c r="BD129" s="347"/>
      <c r="BE129" s="346"/>
      <c r="BF129" s="346"/>
      <c r="BG129" s="346"/>
      <c r="BH129" s="346"/>
      <c r="BI129" s="346"/>
      <c r="BJ129" s="346"/>
      <c r="BK129" s="346"/>
      <c r="BL129" s="346"/>
      <c r="BM129" s="346"/>
      <c r="BN129" s="346"/>
      <c r="BO129" s="346"/>
      <c r="BP129" s="346"/>
      <c r="BQ129" s="346"/>
      <c r="BR129" s="346"/>
      <c r="BS129" s="346"/>
      <c r="BT129" s="346"/>
      <c r="BU129" s="346"/>
      <c r="BV129" s="346"/>
      <c r="BW129" s="346"/>
      <c r="BX129" s="346"/>
      <c r="BY129" s="346"/>
      <c r="BZ129" s="346"/>
      <c r="CA129" s="346"/>
      <c r="CB129" s="346"/>
      <c r="CC129" s="346"/>
      <c r="CD129" s="346"/>
      <c r="CE129" s="346"/>
      <c r="CF129" s="346"/>
      <c r="CG129" s="346"/>
      <c r="CH129" s="346"/>
      <c r="CI129" s="346"/>
      <c r="CJ129" s="346"/>
      <c r="CK129" s="346"/>
      <c r="CL129" s="346"/>
      <c r="CM129" s="346"/>
      <c r="CN129" s="346"/>
      <c r="CO129" s="346"/>
      <c r="CP129" s="346"/>
      <c r="CQ129" s="346"/>
      <c r="CR129" s="346"/>
      <c r="CS129" s="346"/>
      <c r="CT129" s="346"/>
      <c r="CU129" s="348"/>
      <c r="CV129" s="190"/>
    </row>
    <row r="130" spans="1:100" ht="89.25" x14ac:dyDescent="0.2">
      <c r="A130" s="23" t="s">
        <v>123</v>
      </c>
      <c r="B130" s="35" t="s">
        <v>139</v>
      </c>
      <c r="C130" s="70"/>
      <c r="D130" s="59" t="str">
        <f t="shared" ref="D130:AH130" si="105">D4</f>
        <v xml:space="preserve">General Fund </v>
      </c>
      <c r="E130" s="59" t="str">
        <f t="shared" si="105"/>
        <v xml:space="preserve">General Fund </v>
      </c>
      <c r="F130" s="59" t="str">
        <f t="shared" si="105"/>
        <v>Indirect Cost</v>
      </c>
      <c r="G130" s="59" t="str">
        <f t="shared" si="105"/>
        <v>Federal Awards</v>
      </c>
      <c r="H130" s="59" t="str">
        <f t="shared" si="105"/>
        <v>Federal Awards, construction/land acquisition</v>
      </c>
      <c r="I130" s="59" t="str">
        <f t="shared" si="105"/>
        <v>Non-recurring General Funds</v>
      </c>
      <c r="J130" s="59" t="str">
        <f t="shared" si="105"/>
        <v>Agency Funds</v>
      </c>
      <c r="K130" s="59" t="str">
        <f t="shared" si="105"/>
        <v>3 Year Hunting &amp; Fishing Licenses</v>
      </c>
      <c r="L130" s="59" t="str">
        <f t="shared" si="105"/>
        <v>Gasoline Tax Allocation</v>
      </c>
      <c r="M130" s="59" t="str">
        <f t="shared" si="105"/>
        <v>Portion of Annual Freshwater Fishing license</v>
      </c>
      <c r="N130" s="59" t="str">
        <f t="shared" si="105"/>
        <v>Hunting &amp; Fishing licenses</v>
      </c>
      <c r="O130" s="59" t="str">
        <f t="shared" si="105"/>
        <v>Operation Game Thief/Property Watch, Court Fees, Litter Fines</v>
      </c>
      <c r="P130" s="59" t="str">
        <f t="shared" si="105"/>
        <v>Cash Transfer</v>
      </c>
      <c r="Q130" s="59" t="str">
        <f t="shared" si="105"/>
        <v>Boating Fines; Boat Titling &amp; Registration Fees</v>
      </c>
      <c r="R130" s="59" t="str">
        <f t="shared" si="105"/>
        <v>Cash Transfers</v>
      </c>
      <c r="S130" s="59" t="str">
        <f t="shared" si="105"/>
        <v>Antlerless Deer Tags</v>
      </c>
      <c r="T130" s="59" t="str">
        <f t="shared" si="105"/>
        <v>Shrimp Baiting and Saltwater Licenses</v>
      </c>
      <c r="U130" s="59" t="str">
        <f t="shared" si="105"/>
        <v>Hunting &amp; Fishing Fines</v>
      </c>
      <c r="V130" s="59" t="str">
        <f t="shared" si="105"/>
        <v>Magazine Subscriptions</v>
      </c>
      <c r="W130" s="59" t="str">
        <f t="shared" si="105"/>
        <v>State GIS  Coord, Graphics Services Collector Duck Stamp</v>
      </c>
      <c r="X130" s="59" t="str">
        <f t="shared" si="105"/>
        <v>Indirect Cost Recovery non PR/DJ Grants</v>
      </c>
      <c r="Y130" s="59" t="str">
        <f t="shared" si="105"/>
        <v>Overpayments</v>
      </c>
      <c r="Z130" s="59" t="str">
        <f t="shared" si="105"/>
        <v>Boat Titling &amp; Registration Fees</v>
      </c>
      <c r="AA130" s="59" t="str">
        <f t="shared" si="105"/>
        <v>Operating Contributions</v>
      </c>
      <c r="AB130" s="59" t="str">
        <f t="shared" si="105"/>
        <v>Unrestricted Donations</v>
      </c>
      <c r="AC130" s="59" t="str">
        <f t="shared" si="105"/>
        <v>Gasoline Tax Allocation(0.13)</v>
      </c>
      <c r="AD130" s="59" t="str">
        <f t="shared" si="105"/>
        <v>Cash Transfer</v>
      </c>
      <c r="AE130" s="59" t="str">
        <f t="shared" si="105"/>
        <v>Cash Transfer</v>
      </c>
      <c r="AF130" s="59" t="str">
        <f t="shared" si="105"/>
        <v>Lifetime License Fees</v>
      </c>
      <c r="AG130" s="59" t="str">
        <f t="shared" si="105"/>
        <v>Investment income for fund 46070000</v>
      </c>
      <c r="AH130" s="59" t="str">
        <f t="shared" si="105"/>
        <v>Vendor Fee for  hunting/fishing licenses</v>
      </c>
      <c r="AI130" s="59" t="str">
        <f t="shared" ref="AI130:BN130" si="106">AI4</f>
        <v>Indirect Cost Recovery-PR/DJ Grants</v>
      </c>
      <c r="AJ130" s="59" t="str">
        <f t="shared" si="106"/>
        <v>Investment Income 3 Year SW Licenses</v>
      </c>
      <c r="AK130" s="59" t="str">
        <f t="shared" si="106"/>
        <v>Vendor Fee for   saltwater fishing licenses</v>
      </c>
      <c r="AL130" s="59" t="str">
        <f t="shared" si="106"/>
        <v>Flood Training Registrations, weather certifications, printed products</v>
      </c>
      <c r="AM130" s="59" t="str">
        <f t="shared" si="106"/>
        <v>Cash Transfer</v>
      </c>
      <c r="AN130" s="59" t="str">
        <f t="shared" si="106"/>
        <v>Cash Transfers</v>
      </c>
      <c r="AO130" s="59" t="str">
        <f t="shared" si="106"/>
        <v>Map data, Core Sample logs, mineral rock kits and GIS publications</v>
      </c>
      <c r="AP130" s="59" t="str">
        <f t="shared" si="106"/>
        <v>Revenue passed to USGS for surface water, ground water, water quality station</v>
      </c>
      <c r="AQ130" s="59" t="str">
        <f t="shared" si="106"/>
        <v>Reimbursements for aquatic weed mgmt</v>
      </c>
      <c r="AR130" s="59" t="str">
        <f t="shared" si="106"/>
        <v>Heritage Trust Fund-Document Stamp</v>
      </c>
      <c r="AS130" s="59" t="str">
        <f t="shared" si="106"/>
        <v>Heritage Trust Fund-Document Stamp</v>
      </c>
      <c r="AT130" s="59" t="str">
        <f t="shared" si="106"/>
        <v>Document Stamp Tax portion</v>
      </c>
      <c r="AU130" s="59" t="str">
        <f t="shared" si="106"/>
        <v>Document Stamp Tax portion-Bond Repayment</v>
      </c>
      <c r="AV130" s="59" t="str">
        <f t="shared" si="106"/>
        <v>Donations</v>
      </c>
      <c r="AW130" s="59" t="str">
        <f t="shared" si="106"/>
        <v>CCEHBR Bldg Rent,  Research contracts, Vessel and Motor Pool accts,  Saltwater Pier Tax, Fishing License plate</v>
      </c>
      <c r="AX130" s="59" t="str">
        <f t="shared" si="106"/>
        <v>Heritage Trust Fund-Document Stamp</v>
      </c>
      <c r="AY130" s="59" t="str">
        <f t="shared" si="106"/>
        <v>3 Year Saltwater Fishing Licenses</v>
      </c>
      <c r="AZ130" s="59" t="str">
        <f t="shared" si="106"/>
        <v>Saltwater Recreational Fishing Licenses</v>
      </c>
      <c r="BA130" s="59" t="str">
        <f t="shared" si="106"/>
        <v>Commercial Saltwater licenses; Culture &amp; Mariculture Permit Fees</v>
      </c>
      <c r="BB130" s="59" t="str">
        <f t="shared" si="106"/>
        <v>Morgan Island Rent</v>
      </c>
      <c r="BC130" s="59" t="str">
        <f t="shared" si="106"/>
        <v>Indirect Cost Recovery</v>
      </c>
      <c r="BD130" s="184" t="str">
        <f t="shared" si="106"/>
        <v>Santee Accord Project, US Army COELake Russell Trout, Donations/Contributions</v>
      </c>
      <c r="BE130" s="59" t="str">
        <f t="shared" si="106"/>
        <v>Operating Contributions-Yawkey Foundation</v>
      </c>
      <c r="BF130" s="59" t="str">
        <f t="shared" si="106"/>
        <v>Cash Transfer from SC Conservation Bank</v>
      </c>
      <c r="BG130" s="59" t="str">
        <f t="shared" si="106"/>
        <v>Cash Transfer from SC Conservation Bank</v>
      </c>
      <c r="BH130" s="59" t="str">
        <f t="shared" si="106"/>
        <v>Hydroelectric Relicensing Agreement Settlement</v>
      </c>
      <c r="BI130" s="59" t="str">
        <f t="shared" si="106"/>
        <v>Hydroelectric Relicensing Agreement Settlement-Duke</v>
      </c>
      <c r="BJ130" s="59" t="str">
        <f t="shared" si="106"/>
        <v>Cash from Trust Fund 41257000</v>
      </c>
      <c r="BK130" s="59" t="str">
        <f t="shared" si="106"/>
        <v>Operating Contributions-Yawkey Foundation, Timber Sales</v>
      </c>
      <c r="BL130" s="59" t="str">
        <f t="shared" si="106"/>
        <v>Tax Check Off; License Plate</v>
      </c>
      <c r="BM130" s="59" t="str">
        <f t="shared" si="106"/>
        <v>Bannister Tract Timber, Cooks Mountain, Carolina Heelsplitter</v>
      </c>
      <c r="BN130" s="59" t="str">
        <f t="shared" si="106"/>
        <v>Duke Energy - annual</v>
      </c>
      <c r="BO130" s="59" t="str">
        <f t="shared" ref="BO130:CU130" si="107">BO4</f>
        <v>(long term  project, cash carryforward)</v>
      </c>
      <c r="BP130" s="59" t="str">
        <f t="shared" si="107"/>
        <v>SCANA - annual</v>
      </c>
      <c r="BQ130" s="59" t="str">
        <f t="shared" si="107"/>
        <v>Greenwood County Utility-annual</v>
      </c>
      <c r="BR130" s="59" t="str">
        <f t="shared" si="107"/>
        <v>(long term  project, cash carryforward)</v>
      </c>
      <c r="BS130" s="59" t="str">
        <f t="shared" si="107"/>
        <v>(long term  project, cash carryforward)</v>
      </c>
      <c r="BT130" s="59" t="str">
        <f t="shared" si="107"/>
        <v>(long term  project, cash carryforward)</v>
      </c>
      <c r="BU130" s="59" t="str">
        <f t="shared" si="107"/>
        <v>(long term  project, cash carryforward)</v>
      </c>
      <c r="BV130" s="59" t="str">
        <f t="shared" si="107"/>
        <v xml:space="preserve">Savannah Harbor Expansion Settlement </v>
      </c>
      <c r="BW130" s="59" t="str">
        <f t="shared" si="107"/>
        <v>Heritage Trust Fund-Document Stamp</v>
      </c>
      <c r="BX130" s="59" t="str">
        <f t="shared" si="107"/>
        <v>Cash Transfer from 43950000</v>
      </c>
      <c r="BY130" s="59" t="str">
        <f t="shared" si="107"/>
        <v>Cash Transfer from 43950001</v>
      </c>
      <c r="BZ130" s="59" t="str">
        <f t="shared" si="107"/>
        <v>Cash Transfer from 43950002</v>
      </c>
      <c r="CA130" s="59" t="str">
        <f t="shared" si="107"/>
        <v>Cash Transfer from 43950003</v>
      </c>
      <c r="CB130" s="59" t="str">
        <f t="shared" si="107"/>
        <v>Cash Transfer from 43950005</v>
      </c>
      <c r="CC130" s="59" t="str">
        <f t="shared" si="107"/>
        <v>Cash Transfer from 43950006</v>
      </c>
      <c r="CD130" s="59" t="str">
        <f t="shared" si="107"/>
        <v>Cash Transfer from 43950007</v>
      </c>
      <c r="CE130" s="59" t="str">
        <f t="shared" si="107"/>
        <v>Cash Transfer from 43957008</v>
      </c>
      <c r="CF130" s="59" t="str">
        <f t="shared" si="107"/>
        <v>Cash Transfer from 43950009</v>
      </c>
      <c r="CG130" s="59" t="str">
        <f t="shared" si="107"/>
        <v>Migratory Waterfowl Permit Fees</v>
      </c>
      <c r="CH130" s="59" t="str">
        <f t="shared" si="107"/>
        <v>Individual and Deer Quality Program Tag Fees</v>
      </c>
      <c r="CI130" s="59" t="str">
        <f t="shared" si="107"/>
        <v>Managed Lands  Timber Harvests</v>
      </c>
      <c r="CJ130" s="59" t="str">
        <f t="shared" si="107"/>
        <v>WMA Permit Fees</v>
      </c>
      <c r="CK130" s="59" t="str">
        <f t="shared" si="107"/>
        <v>Black Bear Public Hunt and Tag Fees</v>
      </c>
      <c r="CL130" s="59" t="str">
        <f t="shared" si="107"/>
        <v>Alligator Public Hunt, WMA Hunt and Tag Fees</v>
      </c>
      <c r="CM130" s="59" t="str">
        <f t="shared" si="107"/>
        <v>Grass Carp Certification Fees</v>
      </c>
      <c r="CN130" s="59" t="str">
        <f t="shared" si="107"/>
        <v>Aquaculture Permit Fees</v>
      </c>
      <c r="CO130" s="59" t="str">
        <f t="shared" si="107"/>
        <v>Miscellaneous Wildlife Permit Fees</v>
      </c>
      <c r="CP130" s="59" t="str">
        <f t="shared" si="107"/>
        <v>Public Hunt Application Fees</v>
      </c>
      <c r="CQ130" s="59" t="str">
        <f t="shared" si="107"/>
        <v>Restricted Deer Tag Fee - designated</v>
      </c>
      <c r="CR130" s="59" t="str">
        <f t="shared" si="107"/>
        <v>Annual Freshwater Nonresident License portion</v>
      </c>
      <c r="CS130" s="59" t="str">
        <f t="shared" si="107"/>
        <v>Fur Bearer Licenses and Permits</v>
      </c>
      <c r="CT130" s="59" t="str">
        <f t="shared" si="107"/>
        <v>Shooting Preserve Application Fee</v>
      </c>
      <c r="CU130" s="349" t="str">
        <f t="shared" si="107"/>
        <v>Donations, Timber Harvest</v>
      </c>
      <c r="CV130" s="189"/>
    </row>
    <row r="131" spans="1:100" x14ac:dyDescent="0.2">
      <c r="A131" s="3" t="s">
        <v>124</v>
      </c>
      <c r="B131" s="25" t="s">
        <v>29</v>
      </c>
      <c r="C131" s="70"/>
      <c r="D131" s="59" t="str">
        <f t="shared" ref="D131:AH131" si="108">D5</f>
        <v>Recurring</v>
      </c>
      <c r="E131" s="59" t="str">
        <f t="shared" si="108"/>
        <v>One-Time</v>
      </c>
      <c r="F131" s="59" t="str">
        <f t="shared" si="108"/>
        <v>Recurring</v>
      </c>
      <c r="G131" s="59" t="str">
        <f t="shared" si="108"/>
        <v>Recurring</v>
      </c>
      <c r="H131" s="59" t="str">
        <f t="shared" si="108"/>
        <v>One-Time</v>
      </c>
      <c r="I131" s="59" t="str">
        <f t="shared" si="108"/>
        <v>One-time</v>
      </c>
      <c r="J131" s="59" t="str">
        <f t="shared" si="108"/>
        <v>One-Time</v>
      </c>
      <c r="K131" s="59" t="str">
        <f t="shared" si="108"/>
        <v>Recurring</v>
      </c>
      <c r="L131" s="59" t="str">
        <f t="shared" si="108"/>
        <v>Recurring</v>
      </c>
      <c r="M131" s="59" t="str">
        <f t="shared" si="108"/>
        <v>Recurring</v>
      </c>
      <c r="N131" s="59" t="str">
        <f t="shared" si="108"/>
        <v>Recurring</v>
      </c>
      <c r="O131" s="59" t="str">
        <f t="shared" si="108"/>
        <v>Recurring</v>
      </c>
      <c r="P131" s="59" t="str">
        <f t="shared" si="108"/>
        <v>Recurring</v>
      </c>
      <c r="Q131" s="59" t="str">
        <f t="shared" si="108"/>
        <v>Recurring</v>
      </c>
      <c r="R131" s="59" t="str">
        <f t="shared" si="108"/>
        <v>One-Time</v>
      </c>
      <c r="S131" s="59" t="str">
        <f t="shared" si="108"/>
        <v>Recurring</v>
      </c>
      <c r="T131" s="59" t="str">
        <f t="shared" si="108"/>
        <v>Recurring</v>
      </c>
      <c r="U131" s="59" t="str">
        <f t="shared" si="108"/>
        <v>Recurring</v>
      </c>
      <c r="V131" s="59" t="str">
        <f t="shared" si="108"/>
        <v>Recurring</v>
      </c>
      <c r="W131" s="59" t="str">
        <f t="shared" si="108"/>
        <v>Recurring</v>
      </c>
      <c r="X131" s="59" t="str">
        <f t="shared" si="108"/>
        <v>Recurring</v>
      </c>
      <c r="Y131" s="59" t="str">
        <f t="shared" si="108"/>
        <v>Recurring</v>
      </c>
      <c r="Z131" s="59" t="str">
        <f t="shared" si="108"/>
        <v>Recurring</v>
      </c>
      <c r="AA131" s="59" t="str">
        <f t="shared" si="108"/>
        <v>Recurring</v>
      </c>
      <c r="AB131" s="59" t="str">
        <f t="shared" si="108"/>
        <v>Recurring</v>
      </c>
      <c r="AC131" s="59" t="str">
        <f t="shared" si="108"/>
        <v>Recurring</v>
      </c>
      <c r="AD131" s="59" t="str">
        <f t="shared" si="108"/>
        <v>Recurring</v>
      </c>
      <c r="AE131" s="59" t="str">
        <f t="shared" si="108"/>
        <v>Recurring</v>
      </c>
      <c r="AF131" s="59" t="str">
        <f t="shared" si="108"/>
        <v>Recurring</v>
      </c>
      <c r="AG131" s="59" t="str">
        <f t="shared" si="108"/>
        <v>Recurring</v>
      </c>
      <c r="AH131" s="59" t="str">
        <f t="shared" si="108"/>
        <v>Recurring</v>
      </c>
      <c r="AI131" s="59" t="str">
        <f t="shared" ref="AI131:BN131" si="109">AI5</f>
        <v>Recurring</v>
      </c>
      <c r="AJ131" s="59" t="str">
        <f t="shared" si="109"/>
        <v>Recurring</v>
      </c>
      <c r="AK131" s="59" t="str">
        <f t="shared" si="109"/>
        <v>Recurring</v>
      </c>
      <c r="AL131" s="59" t="str">
        <f t="shared" si="109"/>
        <v>Recurring</v>
      </c>
      <c r="AM131" s="59" t="str">
        <f t="shared" si="109"/>
        <v>Recurring</v>
      </c>
      <c r="AN131" s="59" t="str">
        <f t="shared" si="109"/>
        <v>Recurring</v>
      </c>
      <c r="AO131" s="59" t="str">
        <f t="shared" si="109"/>
        <v>Recurring</v>
      </c>
      <c r="AP131" s="59" t="str">
        <f t="shared" si="109"/>
        <v>Recurring</v>
      </c>
      <c r="AQ131" s="59" t="str">
        <f t="shared" si="109"/>
        <v>Recurring</v>
      </c>
      <c r="AR131" s="59" t="str">
        <f t="shared" si="109"/>
        <v>Recurring</v>
      </c>
      <c r="AS131" s="59" t="str">
        <f t="shared" si="109"/>
        <v>Recurring</v>
      </c>
      <c r="AT131" s="59" t="str">
        <f t="shared" si="109"/>
        <v>Recurring</v>
      </c>
      <c r="AU131" s="59" t="str">
        <f t="shared" si="109"/>
        <v>Recurring</v>
      </c>
      <c r="AV131" s="59" t="str">
        <f t="shared" si="109"/>
        <v>Recurring</v>
      </c>
      <c r="AW131" s="59" t="str">
        <f t="shared" si="109"/>
        <v>Recurring</v>
      </c>
      <c r="AX131" s="59" t="str">
        <f t="shared" si="109"/>
        <v>Recurring</v>
      </c>
      <c r="AY131" s="59" t="str">
        <f t="shared" si="109"/>
        <v>Recurring</v>
      </c>
      <c r="AZ131" s="59" t="str">
        <f t="shared" si="109"/>
        <v>Recurring</v>
      </c>
      <c r="BA131" s="59" t="str">
        <f t="shared" si="109"/>
        <v>Recurring</v>
      </c>
      <c r="BB131" s="59" t="str">
        <f t="shared" si="109"/>
        <v>Recurring</v>
      </c>
      <c r="BC131" s="59" t="str">
        <f t="shared" si="109"/>
        <v>Recurring</v>
      </c>
      <c r="BD131" s="184" t="str">
        <f t="shared" si="109"/>
        <v>Recurring</v>
      </c>
      <c r="BE131" s="59" t="str">
        <f t="shared" si="109"/>
        <v>Recurring</v>
      </c>
      <c r="BF131" s="59" t="str">
        <f t="shared" si="109"/>
        <v>Recurring</v>
      </c>
      <c r="BG131" s="59" t="str">
        <f t="shared" si="109"/>
        <v>Recurring</v>
      </c>
      <c r="BH131" s="59" t="str">
        <f t="shared" si="109"/>
        <v>One-time</v>
      </c>
      <c r="BI131" s="59" t="str">
        <f t="shared" si="109"/>
        <v>One-time</v>
      </c>
      <c r="BJ131" s="59" t="str">
        <f t="shared" si="109"/>
        <v>Recurring</v>
      </c>
      <c r="BK131" s="59" t="str">
        <f t="shared" si="109"/>
        <v>Recurring</v>
      </c>
      <c r="BL131" s="59" t="str">
        <f t="shared" si="109"/>
        <v>Recurring</v>
      </c>
      <c r="BM131" s="59" t="str">
        <f t="shared" si="109"/>
        <v>One-time</v>
      </c>
      <c r="BN131" s="59" t="str">
        <f t="shared" si="109"/>
        <v>One-time</v>
      </c>
      <c r="BO131" s="59" t="str">
        <f t="shared" ref="BO131:CU131" si="110">BO5</f>
        <v>One-time</v>
      </c>
      <c r="BP131" s="59" t="str">
        <f t="shared" si="110"/>
        <v>One-time</v>
      </c>
      <c r="BQ131" s="59" t="str">
        <f t="shared" si="110"/>
        <v>One-time</v>
      </c>
      <c r="BR131" s="59" t="str">
        <f t="shared" si="110"/>
        <v>One-time</v>
      </c>
      <c r="BS131" s="59" t="str">
        <f t="shared" si="110"/>
        <v>One-time</v>
      </c>
      <c r="BT131" s="59" t="str">
        <f t="shared" si="110"/>
        <v>One-time</v>
      </c>
      <c r="BU131" s="59" t="str">
        <f t="shared" si="110"/>
        <v>One-time</v>
      </c>
      <c r="BV131" s="59" t="str">
        <f t="shared" si="110"/>
        <v>One-time</v>
      </c>
      <c r="BW131" s="59" t="str">
        <f t="shared" si="110"/>
        <v>Recurring</v>
      </c>
      <c r="BX131" s="59" t="str">
        <f t="shared" si="110"/>
        <v>Recurring</v>
      </c>
      <c r="BY131" s="59" t="str">
        <f t="shared" si="110"/>
        <v>Recurring</v>
      </c>
      <c r="BZ131" s="59" t="str">
        <f t="shared" si="110"/>
        <v>Recurring</v>
      </c>
      <c r="CA131" s="59" t="str">
        <f t="shared" si="110"/>
        <v>Recurring</v>
      </c>
      <c r="CB131" s="59" t="str">
        <f t="shared" si="110"/>
        <v>Recurring</v>
      </c>
      <c r="CC131" s="59" t="str">
        <f t="shared" si="110"/>
        <v>Recurring</v>
      </c>
      <c r="CD131" s="59" t="str">
        <f t="shared" si="110"/>
        <v>Recurring</v>
      </c>
      <c r="CE131" s="59" t="str">
        <f t="shared" si="110"/>
        <v>Recurring</v>
      </c>
      <c r="CF131" s="59" t="str">
        <f t="shared" si="110"/>
        <v>Recurring</v>
      </c>
      <c r="CG131" s="59" t="str">
        <f t="shared" si="110"/>
        <v>Recurring</v>
      </c>
      <c r="CH131" s="59" t="str">
        <f t="shared" si="110"/>
        <v>Recurring</v>
      </c>
      <c r="CI131" s="59" t="str">
        <f t="shared" si="110"/>
        <v>Recurring</v>
      </c>
      <c r="CJ131" s="59" t="str">
        <f t="shared" si="110"/>
        <v>Recurring</v>
      </c>
      <c r="CK131" s="59" t="str">
        <f t="shared" si="110"/>
        <v>Recurring</v>
      </c>
      <c r="CL131" s="59" t="str">
        <f t="shared" si="110"/>
        <v>Recurring</v>
      </c>
      <c r="CM131" s="59" t="str">
        <f t="shared" si="110"/>
        <v>Recurring</v>
      </c>
      <c r="CN131" s="59" t="str">
        <f t="shared" si="110"/>
        <v>Recurring</v>
      </c>
      <c r="CO131" s="59" t="str">
        <f t="shared" si="110"/>
        <v>Recurring</v>
      </c>
      <c r="CP131" s="59" t="str">
        <f t="shared" si="110"/>
        <v>Recurring</v>
      </c>
      <c r="CQ131" s="59" t="str">
        <f t="shared" si="110"/>
        <v>Recurring</v>
      </c>
      <c r="CR131" s="59" t="str">
        <f t="shared" si="110"/>
        <v>Recurring</v>
      </c>
      <c r="CS131" s="59" t="str">
        <f t="shared" si="110"/>
        <v>Recurring</v>
      </c>
      <c r="CT131" s="59" t="str">
        <f t="shared" si="110"/>
        <v>Recurring</v>
      </c>
      <c r="CU131" s="349" t="str">
        <f t="shared" si="110"/>
        <v>Recurring</v>
      </c>
      <c r="CV131" s="189"/>
    </row>
    <row r="132" spans="1:100" x14ac:dyDescent="0.2">
      <c r="A132" s="3" t="s">
        <v>125</v>
      </c>
      <c r="B132" s="25" t="s">
        <v>56</v>
      </c>
      <c r="C132" s="70"/>
      <c r="D132" s="59" t="str">
        <f t="shared" ref="D132:AH132" si="111">D6</f>
        <v>State</v>
      </c>
      <c r="E132" s="59" t="str">
        <f t="shared" si="111"/>
        <v>State</v>
      </c>
      <c r="F132" s="59" t="str">
        <f t="shared" si="111"/>
        <v>Federal</v>
      </c>
      <c r="G132" s="59" t="str">
        <f t="shared" si="111"/>
        <v>Federal</v>
      </c>
      <c r="H132" s="59" t="str">
        <f t="shared" si="111"/>
        <v>Federal</v>
      </c>
      <c r="I132" s="59" t="str">
        <f t="shared" si="111"/>
        <v>Other</v>
      </c>
      <c r="J132" s="59" t="str">
        <f t="shared" si="111"/>
        <v>Other</v>
      </c>
      <c r="K132" s="59" t="str">
        <f t="shared" si="111"/>
        <v>Other</v>
      </c>
      <c r="L132" s="59" t="str">
        <f t="shared" si="111"/>
        <v>Other</v>
      </c>
      <c r="M132" s="59" t="str">
        <f t="shared" si="111"/>
        <v>Other</v>
      </c>
      <c r="N132" s="59" t="str">
        <f t="shared" si="111"/>
        <v>Other</v>
      </c>
      <c r="O132" s="59" t="str">
        <f t="shared" si="111"/>
        <v>Other</v>
      </c>
      <c r="P132" s="59" t="str">
        <f t="shared" si="111"/>
        <v>Other</v>
      </c>
      <c r="Q132" s="59" t="str">
        <f t="shared" si="111"/>
        <v>Other</v>
      </c>
      <c r="R132" s="59" t="str">
        <f t="shared" si="111"/>
        <v>Other</v>
      </c>
      <c r="S132" s="59" t="str">
        <f t="shared" si="111"/>
        <v>Other</v>
      </c>
      <c r="T132" s="59" t="str">
        <f t="shared" si="111"/>
        <v>Other</v>
      </c>
      <c r="U132" s="59" t="str">
        <f t="shared" si="111"/>
        <v>Other</v>
      </c>
      <c r="V132" s="59" t="str">
        <f t="shared" si="111"/>
        <v>Other</v>
      </c>
      <c r="W132" s="59" t="str">
        <f t="shared" si="111"/>
        <v>Other</v>
      </c>
      <c r="X132" s="59" t="str">
        <f t="shared" si="111"/>
        <v>Other</v>
      </c>
      <c r="Y132" s="59" t="str">
        <f t="shared" si="111"/>
        <v>Other</v>
      </c>
      <c r="Z132" s="59" t="str">
        <f t="shared" si="111"/>
        <v>Other</v>
      </c>
      <c r="AA132" s="59" t="str">
        <f t="shared" si="111"/>
        <v>Other</v>
      </c>
      <c r="AB132" s="59" t="str">
        <f t="shared" si="111"/>
        <v>Other</v>
      </c>
      <c r="AC132" s="59" t="str">
        <f t="shared" si="111"/>
        <v>Other</v>
      </c>
      <c r="AD132" s="59" t="str">
        <f t="shared" si="111"/>
        <v>Other</v>
      </c>
      <c r="AE132" s="59" t="str">
        <f t="shared" si="111"/>
        <v>Other</v>
      </c>
      <c r="AF132" s="59" t="str">
        <f t="shared" si="111"/>
        <v>Other</v>
      </c>
      <c r="AG132" s="59" t="str">
        <f t="shared" si="111"/>
        <v>Other</v>
      </c>
      <c r="AH132" s="59" t="str">
        <f t="shared" si="111"/>
        <v>Other</v>
      </c>
      <c r="AI132" s="59" t="str">
        <f t="shared" ref="AI132:BN132" si="112">AI6</f>
        <v>Other</v>
      </c>
      <c r="AJ132" s="59" t="str">
        <f t="shared" si="112"/>
        <v>Other</v>
      </c>
      <c r="AK132" s="59" t="str">
        <f t="shared" si="112"/>
        <v>Other</v>
      </c>
      <c r="AL132" s="59" t="str">
        <f t="shared" si="112"/>
        <v>Other</v>
      </c>
      <c r="AM132" s="59" t="str">
        <f t="shared" si="112"/>
        <v>Other</v>
      </c>
      <c r="AN132" s="59" t="str">
        <f t="shared" si="112"/>
        <v>Other</v>
      </c>
      <c r="AO132" s="59" t="str">
        <f t="shared" si="112"/>
        <v>Other</v>
      </c>
      <c r="AP132" s="59" t="str">
        <f t="shared" si="112"/>
        <v>Other</v>
      </c>
      <c r="AQ132" s="59" t="str">
        <f t="shared" si="112"/>
        <v>Other</v>
      </c>
      <c r="AR132" s="59" t="str">
        <f t="shared" si="112"/>
        <v>Other</v>
      </c>
      <c r="AS132" s="59" t="str">
        <f t="shared" si="112"/>
        <v>Other</v>
      </c>
      <c r="AT132" s="59" t="str">
        <f t="shared" si="112"/>
        <v>Other</v>
      </c>
      <c r="AU132" s="59" t="str">
        <f t="shared" si="112"/>
        <v>Other</v>
      </c>
      <c r="AV132" s="59" t="str">
        <f t="shared" si="112"/>
        <v>Other</v>
      </c>
      <c r="AW132" s="59" t="str">
        <f t="shared" si="112"/>
        <v>Other</v>
      </c>
      <c r="AX132" s="59" t="str">
        <f t="shared" si="112"/>
        <v>Other</v>
      </c>
      <c r="AY132" s="59" t="str">
        <f t="shared" si="112"/>
        <v>Other</v>
      </c>
      <c r="AZ132" s="59" t="str">
        <f t="shared" si="112"/>
        <v>Other</v>
      </c>
      <c r="BA132" s="59" t="str">
        <f t="shared" si="112"/>
        <v>Other</v>
      </c>
      <c r="BB132" s="59" t="str">
        <f t="shared" si="112"/>
        <v>Other</v>
      </c>
      <c r="BC132" s="59" t="str">
        <f t="shared" si="112"/>
        <v>Other</v>
      </c>
      <c r="BD132" s="184" t="str">
        <f t="shared" si="112"/>
        <v>Other</v>
      </c>
      <c r="BE132" s="59" t="str">
        <f t="shared" si="112"/>
        <v>Other</v>
      </c>
      <c r="BF132" s="59">
        <f t="shared" si="112"/>
        <v>0</v>
      </c>
      <c r="BG132" s="59">
        <f t="shared" si="112"/>
        <v>0</v>
      </c>
      <c r="BH132" s="59" t="str">
        <f t="shared" si="112"/>
        <v>Other</v>
      </c>
      <c r="BI132" s="59" t="str">
        <f t="shared" si="112"/>
        <v>Other</v>
      </c>
      <c r="BJ132" s="59" t="str">
        <f t="shared" si="112"/>
        <v>Other</v>
      </c>
      <c r="BK132" s="59" t="str">
        <f t="shared" si="112"/>
        <v>Other</v>
      </c>
      <c r="BL132" s="59" t="str">
        <f t="shared" si="112"/>
        <v>Other</v>
      </c>
      <c r="BM132" s="59" t="str">
        <f t="shared" si="112"/>
        <v>Other</v>
      </c>
      <c r="BN132" s="59" t="str">
        <f t="shared" si="112"/>
        <v>Other</v>
      </c>
      <c r="BO132" s="59" t="str">
        <f t="shared" ref="BO132:CU132" si="113">BO6</f>
        <v>Other</v>
      </c>
      <c r="BP132" s="59" t="str">
        <f t="shared" si="113"/>
        <v>Other</v>
      </c>
      <c r="BQ132" s="59" t="str">
        <f t="shared" si="113"/>
        <v>Other</v>
      </c>
      <c r="BR132" s="59" t="str">
        <f t="shared" si="113"/>
        <v>Other</v>
      </c>
      <c r="BS132" s="59" t="str">
        <f t="shared" si="113"/>
        <v>Other</v>
      </c>
      <c r="BT132" s="59" t="str">
        <f t="shared" si="113"/>
        <v>Other</v>
      </c>
      <c r="BU132" s="59" t="str">
        <f t="shared" si="113"/>
        <v>Other</v>
      </c>
      <c r="BV132" s="59" t="str">
        <f t="shared" si="113"/>
        <v>Other</v>
      </c>
      <c r="BW132" s="59" t="str">
        <f t="shared" si="113"/>
        <v>Other</v>
      </c>
      <c r="BX132" s="59" t="str">
        <f t="shared" si="113"/>
        <v>Other</v>
      </c>
      <c r="BY132" s="59" t="str">
        <f t="shared" si="113"/>
        <v>Other</v>
      </c>
      <c r="BZ132" s="59" t="str">
        <f t="shared" si="113"/>
        <v>Other</v>
      </c>
      <c r="CA132" s="59" t="str">
        <f t="shared" si="113"/>
        <v>Other</v>
      </c>
      <c r="CB132" s="59" t="str">
        <f t="shared" si="113"/>
        <v>Other</v>
      </c>
      <c r="CC132" s="59" t="str">
        <f t="shared" si="113"/>
        <v>Other</v>
      </c>
      <c r="CD132" s="59" t="str">
        <f t="shared" si="113"/>
        <v>Other</v>
      </c>
      <c r="CE132" s="59" t="str">
        <f t="shared" si="113"/>
        <v>Other</v>
      </c>
      <c r="CF132" s="59" t="str">
        <f t="shared" si="113"/>
        <v>Other</v>
      </c>
      <c r="CG132" s="59" t="str">
        <f t="shared" si="113"/>
        <v>Other</v>
      </c>
      <c r="CH132" s="59" t="str">
        <f t="shared" si="113"/>
        <v>Other</v>
      </c>
      <c r="CI132" s="59" t="str">
        <f t="shared" si="113"/>
        <v>Other</v>
      </c>
      <c r="CJ132" s="59" t="str">
        <f t="shared" si="113"/>
        <v>Other</v>
      </c>
      <c r="CK132" s="59" t="str">
        <f t="shared" si="113"/>
        <v>Other</v>
      </c>
      <c r="CL132" s="59" t="str">
        <f t="shared" si="113"/>
        <v>Other</v>
      </c>
      <c r="CM132" s="59" t="str">
        <f t="shared" si="113"/>
        <v>Other</v>
      </c>
      <c r="CN132" s="59" t="str">
        <f t="shared" si="113"/>
        <v>Other</v>
      </c>
      <c r="CO132" s="59" t="str">
        <f t="shared" si="113"/>
        <v>Other</v>
      </c>
      <c r="CP132" s="59" t="str">
        <f t="shared" si="113"/>
        <v>Other</v>
      </c>
      <c r="CQ132" s="59" t="str">
        <f t="shared" si="113"/>
        <v>Other</v>
      </c>
      <c r="CR132" s="59" t="str">
        <f t="shared" si="113"/>
        <v>Other</v>
      </c>
      <c r="CS132" s="59" t="str">
        <f t="shared" si="113"/>
        <v>Other</v>
      </c>
      <c r="CT132" s="59" t="str">
        <f t="shared" si="113"/>
        <v>Other</v>
      </c>
      <c r="CU132" s="349" t="str">
        <f t="shared" si="113"/>
        <v>Other</v>
      </c>
      <c r="CV132" s="189"/>
    </row>
    <row r="133" spans="1:100" ht="306" x14ac:dyDescent="0.2">
      <c r="A133" s="23" t="s">
        <v>126</v>
      </c>
      <c r="B133" s="25" t="s">
        <v>42</v>
      </c>
      <c r="C133" s="70"/>
      <c r="D133" s="38" t="str">
        <f t="shared" ref="D133:AH133" si="114">D23</f>
        <v xml:space="preserve">I.;  II.A.1.;  II.A.3.; II.B.1.; II.D.1.; II.D.3.; II.D.5.; II.E.1.;II.F.1.;  II.F.2.; II.G.1.; II. G.2.     </v>
      </c>
      <c r="E133" s="38" t="str">
        <f t="shared" si="114"/>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133" s="38" t="str">
        <f t="shared" si="114"/>
        <v xml:space="preserve"> II.E.1.; II.E.2.</v>
      </c>
      <c r="G133" s="38" t="str">
        <f t="shared" si="114"/>
        <v xml:space="preserve">I.;  II.A.1.; II.A.2.; II.A.3.; II.B.2.; II.D.1.; II.D.2.; II.E.1.; II.E.3.   </v>
      </c>
      <c r="H133" s="38" t="str">
        <f t="shared" si="114"/>
        <v>9942-Waddell Ctr Renovation;      9953-Chestnut Ridge Land Acq; 9950-Wateree Range Land Acq;         9946-Liberty Hill Land Acq;         9959-S Fenwick Isl Land Acq;         9966-Wateree Range Renovation</v>
      </c>
      <c r="I133" s="38" t="str">
        <f t="shared" si="114"/>
        <v xml:space="preserve">9907-Cohen Campbell Hatchery;  9942-Waddell Ctr Renovation;       9960-Murphy Isl Dike;                   9962-Cedar Isl Dike;      9963-Samworth   Dike;                              9965-Spring Stevens Hatchery; 9967-Ft Johnson Boat Slip;          9968-Ft Johnson Roof Replacement        </v>
      </c>
      <c r="J133" s="38" t="str">
        <f t="shared" si="114"/>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133" s="38" t="str">
        <f t="shared" si="114"/>
        <v>I.</v>
      </c>
      <c r="L133" s="38" t="str">
        <f t="shared" si="114"/>
        <v>II.B.1.</v>
      </c>
      <c r="M133" s="38" t="str">
        <f t="shared" si="114"/>
        <v>II.C.3.;  II.D.1.; II.D.4.; II.E.1.;  II.F.1.</v>
      </c>
      <c r="N133" s="38" t="str">
        <f t="shared" si="114"/>
        <v xml:space="preserve">I.;  II.A.1.; II.A.2.; II.A.3.; II.B.2.; II.D.1.; II.D.2.; II.E.1.; II.E.3.   </v>
      </c>
      <c r="O133" s="38" t="str">
        <f t="shared" si="114"/>
        <v>II.E.1.</v>
      </c>
      <c r="P133" s="38" t="str">
        <f t="shared" si="114"/>
        <v>II.E.1.;   II.E.3.</v>
      </c>
      <c r="Q133" s="38" t="str">
        <f t="shared" si="114"/>
        <v>II.E.1.;   II.E.3.</v>
      </c>
      <c r="R133" s="38" t="str">
        <f t="shared" si="114"/>
        <v xml:space="preserve">II.E.1. </v>
      </c>
      <c r="S133" s="38" t="str">
        <f t="shared" si="114"/>
        <v>II.E.1.; II.E.3.</v>
      </c>
      <c r="T133" s="38" t="str">
        <f t="shared" si="114"/>
        <v>II.E.1.</v>
      </c>
      <c r="U133" s="38" t="str">
        <f t="shared" si="114"/>
        <v>II.C.3.</v>
      </c>
      <c r="V133" s="38" t="str">
        <f t="shared" si="114"/>
        <v>II.A.2.</v>
      </c>
      <c r="W133" s="38" t="str">
        <f t="shared" si="114"/>
        <v>I.; II.A.1.; II.A.3.</v>
      </c>
      <c r="X133" s="38" t="str">
        <f t="shared" si="114"/>
        <v>I.</v>
      </c>
      <c r="Y133" s="38" t="str">
        <f t="shared" si="114"/>
        <v>II.B.1</v>
      </c>
      <c r="Z133" s="38" t="str">
        <f t="shared" si="114"/>
        <v>I.; II.A.1.; II.A.2.; II.A.3.; II.B.1.</v>
      </c>
      <c r="AA133" s="38" t="str">
        <f t="shared" si="114"/>
        <v>II.A.3.</v>
      </c>
      <c r="AB133" s="38" t="str">
        <f t="shared" si="114"/>
        <v>I.</v>
      </c>
      <c r="AC133" s="38" t="str">
        <f t="shared" si="114"/>
        <v>II.C.2.</v>
      </c>
      <c r="AD133" s="38" t="str">
        <f t="shared" si="114"/>
        <v>II.C.1.</v>
      </c>
      <c r="AE133" s="38" t="str">
        <f t="shared" si="114"/>
        <v>II.C.2.</v>
      </c>
      <c r="AF133" s="38" t="str">
        <f t="shared" si="114"/>
        <v>I.</v>
      </c>
      <c r="AG133" s="38" t="str">
        <f t="shared" si="114"/>
        <v>I.; II.B.2.</v>
      </c>
      <c r="AH133" s="38" t="str">
        <f t="shared" si="114"/>
        <v>II.B.2.</v>
      </c>
      <c r="AI133" s="38" t="str">
        <f t="shared" ref="AI133:BN133" si="115">AI23</f>
        <v>I.; II.A.3.</v>
      </c>
      <c r="AJ133" s="38" t="str">
        <f t="shared" si="115"/>
        <v xml:space="preserve"> II.F.1.;  II.F.2.</v>
      </c>
      <c r="AK133" s="38" t="str">
        <f t="shared" si="115"/>
        <v>II.B.2.</v>
      </c>
      <c r="AL133" s="38" t="str">
        <f t="shared" si="115"/>
        <v>II.G.1.; II. G.2.</v>
      </c>
      <c r="AM133" s="38" t="str">
        <f t="shared" si="115"/>
        <v>II.G.1.</v>
      </c>
      <c r="AN133" s="38" t="str">
        <f t="shared" si="115"/>
        <v>II.G.1.</v>
      </c>
      <c r="AO133" s="38" t="str">
        <f t="shared" si="115"/>
        <v>II.G.1.</v>
      </c>
      <c r="AP133" s="38" t="str">
        <f t="shared" si="115"/>
        <v>II.G.1.</v>
      </c>
      <c r="AQ133" s="38" t="str">
        <f t="shared" si="115"/>
        <v>II.G.1.</v>
      </c>
      <c r="AR133" s="38" t="str">
        <f t="shared" si="115"/>
        <v>II.G.3.</v>
      </c>
      <c r="AS133" s="38" t="str">
        <f t="shared" si="115"/>
        <v>II.G.3.</v>
      </c>
      <c r="AT133" s="38" t="str">
        <f t="shared" si="115"/>
        <v>II.G.3.</v>
      </c>
      <c r="AU133" s="38" t="str">
        <f t="shared" si="115"/>
        <v>II.G.3.</v>
      </c>
      <c r="AV133" s="38" t="str">
        <f t="shared" si="115"/>
        <v>II.G.1.</v>
      </c>
      <c r="AW133" s="38" t="str">
        <f t="shared" si="115"/>
        <v xml:space="preserve">II.F.1.; II.F.2.  </v>
      </c>
      <c r="AX133" s="38" t="str">
        <f t="shared" si="115"/>
        <v>II.G.3.</v>
      </c>
      <c r="AY133" s="38" t="str">
        <f t="shared" si="115"/>
        <v>I.</v>
      </c>
      <c r="AZ133" s="38" t="str">
        <f t="shared" si="115"/>
        <v>II.A.3.;   II.F.1.;  II.F.2.</v>
      </c>
      <c r="BA133" s="38" t="str">
        <f t="shared" si="115"/>
        <v>II.B.2.;   II.F.1.;  II.F.2.</v>
      </c>
      <c r="BB133" s="38" t="str">
        <f t="shared" si="115"/>
        <v>II.D.1.;  II.F.1.;   II.F.2.</v>
      </c>
      <c r="BC133" s="38" t="str">
        <f t="shared" si="115"/>
        <v xml:space="preserve"> II.F.1.;  II.F.2.</v>
      </c>
      <c r="BD133" s="178" t="str">
        <f t="shared" si="115"/>
        <v xml:space="preserve">II.D.1.; II.D.2.; II.D.3.; II.D.4.; II.D.5.   </v>
      </c>
      <c r="BE133" s="38" t="str">
        <f t="shared" si="115"/>
        <v>II.D.2.</v>
      </c>
      <c r="BF133" s="38" t="str">
        <f t="shared" si="115"/>
        <v>II.D.1.</v>
      </c>
      <c r="BG133" s="38" t="str">
        <f t="shared" si="115"/>
        <v>II.D.1.</v>
      </c>
      <c r="BH133" s="38" t="str">
        <f t="shared" si="115"/>
        <v>II.D.4.</v>
      </c>
      <c r="BI133" s="38" t="str">
        <f t="shared" si="115"/>
        <v>II.D.1.   II.D.4.</v>
      </c>
      <c r="BJ133" s="38" t="str">
        <f t="shared" si="115"/>
        <v>II.D.2.</v>
      </c>
      <c r="BK133" s="38" t="str">
        <f t="shared" si="115"/>
        <v>II.D.2.</v>
      </c>
      <c r="BL133" s="38" t="str">
        <f t="shared" si="115"/>
        <v>II.D.3.</v>
      </c>
      <c r="BM133" s="38" t="str">
        <f t="shared" si="115"/>
        <v>II.D.1.; II.D.4.</v>
      </c>
      <c r="BN133" s="38" t="str">
        <f t="shared" si="115"/>
        <v>II.D.4.</v>
      </c>
      <c r="BO133" s="38" t="str">
        <f t="shared" ref="BO133:CU133" si="116">BO23</f>
        <v>II.D.4.</v>
      </c>
      <c r="BP133" s="38" t="str">
        <f t="shared" si="116"/>
        <v>II.D.4.</v>
      </c>
      <c r="BQ133" s="38" t="str">
        <f t="shared" si="116"/>
        <v>II.D.4.</v>
      </c>
      <c r="BR133" s="38" t="str">
        <f t="shared" si="116"/>
        <v>II.D.4.</v>
      </c>
      <c r="BS133" s="38" t="str">
        <f t="shared" si="116"/>
        <v>II.D.1.</v>
      </c>
      <c r="BT133" s="38" t="str">
        <f t="shared" si="116"/>
        <v>II.D.1.</v>
      </c>
      <c r="BU133" s="38" t="str">
        <f t="shared" si="116"/>
        <v>II.D.4.</v>
      </c>
      <c r="BV133" s="38" t="str">
        <f t="shared" si="116"/>
        <v>II.D.4.</v>
      </c>
      <c r="BW133" s="38" t="str">
        <f t="shared" si="116"/>
        <v>II.G.3.</v>
      </c>
      <c r="BX133" s="38" t="str">
        <f t="shared" si="116"/>
        <v>II.D.1.; II.D.4.</v>
      </c>
      <c r="BY133" s="38" t="str">
        <f t="shared" si="116"/>
        <v>II.D.4.</v>
      </c>
      <c r="BZ133" s="38" t="str">
        <f t="shared" si="116"/>
        <v>II.D.4.</v>
      </c>
      <c r="CA133" s="38" t="str">
        <f t="shared" si="116"/>
        <v>II.D.4.</v>
      </c>
      <c r="CB133" s="38" t="str">
        <f t="shared" si="116"/>
        <v>II.D.4.</v>
      </c>
      <c r="CC133" s="38" t="str">
        <f t="shared" si="116"/>
        <v>II.D.1.</v>
      </c>
      <c r="CD133" s="38" t="str">
        <f t="shared" si="116"/>
        <v>II.D.1.</v>
      </c>
      <c r="CE133" s="38" t="str">
        <f t="shared" si="116"/>
        <v>II.D.4.</v>
      </c>
      <c r="CF133" s="38" t="str">
        <f t="shared" si="116"/>
        <v>II.D.4.</v>
      </c>
      <c r="CG133" s="38" t="str">
        <f t="shared" si="116"/>
        <v>II.D.2.</v>
      </c>
      <c r="CH133" s="38" t="str">
        <f t="shared" si="116"/>
        <v>II.B.2.; II.D.2.</v>
      </c>
      <c r="CI133" s="38" t="str">
        <f t="shared" si="116"/>
        <v>II.D.1.; II.D.3.</v>
      </c>
      <c r="CJ133" s="38" t="str">
        <f t="shared" si="116"/>
        <v>II.D.1.</v>
      </c>
      <c r="CK133" s="38" t="str">
        <f t="shared" si="116"/>
        <v>II.D.2.</v>
      </c>
      <c r="CL133" s="38" t="str">
        <f t="shared" si="116"/>
        <v>II.D.2.</v>
      </c>
      <c r="CM133" s="38" t="str">
        <f t="shared" si="116"/>
        <v>II.D.4.;  II.D.5.</v>
      </c>
      <c r="CN133" s="38" t="str">
        <f t="shared" si="116"/>
        <v>II.D.4.</v>
      </c>
      <c r="CO133" s="38" t="str">
        <f t="shared" si="116"/>
        <v>II.D.1.</v>
      </c>
      <c r="CP133" s="38" t="str">
        <f t="shared" si="116"/>
        <v>II.D.1.</v>
      </c>
      <c r="CQ133" s="38" t="str">
        <f t="shared" si="116"/>
        <v>II.D.2.</v>
      </c>
      <c r="CR133" s="38" t="str">
        <f t="shared" si="116"/>
        <v>II.D.5.</v>
      </c>
      <c r="CS133" s="38" t="str">
        <f t="shared" si="116"/>
        <v>II.D.2.</v>
      </c>
      <c r="CT133" s="38" t="str">
        <f t="shared" si="116"/>
        <v>II.D.1.</v>
      </c>
      <c r="CU133" s="350" t="str">
        <f t="shared" si="116"/>
        <v>II.D.1.</v>
      </c>
      <c r="CV133" s="189"/>
    </row>
    <row r="134" spans="1:100" x14ac:dyDescent="0.2">
      <c r="A134" s="3" t="s">
        <v>127</v>
      </c>
      <c r="B134" s="25" t="str">
        <f t="shared" ref="B134:AG134" si="117">B30</f>
        <v xml:space="preserve">Total Appropriated and Authorized (i.e. allowed to spend) by end of 2016-17  </v>
      </c>
      <c r="C134" s="50">
        <f t="shared" si="117"/>
        <v>129390265.94000001</v>
      </c>
      <c r="D134" s="36">
        <f t="shared" si="117"/>
        <v>25134773</v>
      </c>
      <c r="E134" s="36">
        <f t="shared" si="117"/>
        <v>15733484.17</v>
      </c>
      <c r="F134" s="36">
        <f t="shared" si="117"/>
        <v>0</v>
      </c>
      <c r="G134" s="36">
        <f t="shared" si="117"/>
        <v>31098135</v>
      </c>
      <c r="H134" s="36">
        <f t="shared" si="117"/>
        <v>5937647.2799999993</v>
      </c>
      <c r="I134" s="36">
        <f t="shared" si="117"/>
        <v>1213231.3900000001</v>
      </c>
      <c r="J134" s="36">
        <f t="shared" si="117"/>
        <v>6492246.5800000001</v>
      </c>
      <c r="K134" s="36">
        <f t="shared" si="117"/>
        <v>0</v>
      </c>
      <c r="L134" s="36">
        <f t="shared" si="117"/>
        <v>0</v>
      </c>
      <c r="M134" s="36">
        <f t="shared" si="117"/>
        <v>268766</v>
      </c>
      <c r="N134" s="36">
        <f t="shared" si="117"/>
        <v>9715817</v>
      </c>
      <c r="O134" s="36">
        <f t="shared" si="117"/>
        <v>893373.11</v>
      </c>
      <c r="P134" s="36">
        <f t="shared" si="117"/>
        <v>908269.47</v>
      </c>
      <c r="Q134" s="36">
        <f t="shared" si="117"/>
        <v>2690944.35</v>
      </c>
      <c r="R134" s="36">
        <f t="shared" si="117"/>
        <v>91238.37</v>
      </c>
      <c r="S134" s="36">
        <f t="shared" si="117"/>
        <v>485996</v>
      </c>
      <c r="T134" s="36">
        <f t="shared" si="117"/>
        <v>299618</v>
      </c>
      <c r="U134" s="36">
        <f t="shared" si="117"/>
        <v>17400</v>
      </c>
      <c r="V134" s="36">
        <f t="shared" si="117"/>
        <v>567885.29</v>
      </c>
      <c r="W134" s="36">
        <f t="shared" si="117"/>
        <v>163443.51</v>
      </c>
      <c r="X134" s="36">
        <f t="shared" si="117"/>
        <v>37303</v>
      </c>
      <c r="Y134" s="36">
        <f t="shared" si="117"/>
        <v>0</v>
      </c>
      <c r="Z134" s="36">
        <f t="shared" si="117"/>
        <v>2049602.84</v>
      </c>
      <c r="AA134" s="36">
        <f t="shared" si="117"/>
        <v>262726.56</v>
      </c>
      <c r="AB134" s="36">
        <f t="shared" si="117"/>
        <v>0</v>
      </c>
      <c r="AC134" s="36">
        <f t="shared" si="117"/>
        <v>0</v>
      </c>
      <c r="AD134" s="36">
        <f t="shared" si="117"/>
        <v>759062.45</v>
      </c>
      <c r="AE134" s="36">
        <f t="shared" si="117"/>
        <v>1225647.54</v>
      </c>
      <c r="AF134" s="36">
        <f t="shared" si="117"/>
        <v>0</v>
      </c>
      <c r="AG134" s="36">
        <f t="shared" si="117"/>
        <v>53057</v>
      </c>
      <c r="AH134" s="36">
        <f t="shared" ref="AH134:BM134" si="118">AH30</f>
        <v>101921</v>
      </c>
      <c r="AI134" s="36">
        <f t="shared" si="118"/>
        <v>834356</v>
      </c>
      <c r="AJ134" s="36">
        <f t="shared" si="118"/>
        <v>0</v>
      </c>
      <c r="AK134" s="36">
        <f t="shared" si="118"/>
        <v>12900</v>
      </c>
      <c r="AL134" s="36">
        <f t="shared" si="118"/>
        <v>96276.88</v>
      </c>
      <c r="AM134" s="36">
        <f t="shared" si="118"/>
        <v>543109.06999999995</v>
      </c>
      <c r="AN134" s="36">
        <f t="shared" si="118"/>
        <v>125186</v>
      </c>
      <c r="AO134" s="36">
        <f t="shared" si="118"/>
        <v>25000</v>
      </c>
      <c r="AP134" s="36">
        <f t="shared" si="118"/>
        <v>0</v>
      </c>
      <c r="AQ134" s="36">
        <f t="shared" si="118"/>
        <v>0</v>
      </c>
      <c r="AR134" s="36">
        <f t="shared" si="118"/>
        <v>338617</v>
      </c>
      <c r="AS134" s="36">
        <f t="shared" si="118"/>
        <v>840111</v>
      </c>
      <c r="AT134" s="36">
        <f t="shared" si="118"/>
        <v>0</v>
      </c>
      <c r="AU134" s="36">
        <f t="shared" si="118"/>
        <v>0</v>
      </c>
      <c r="AV134" s="36">
        <f t="shared" si="118"/>
        <v>0</v>
      </c>
      <c r="AW134" s="36">
        <f t="shared" si="118"/>
        <v>2671247.12</v>
      </c>
      <c r="AX134" s="36">
        <f t="shared" si="118"/>
        <v>81615</v>
      </c>
      <c r="AY134" s="36">
        <f t="shared" si="118"/>
        <v>0</v>
      </c>
      <c r="AZ134" s="36">
        <f t="shared" si="118"/>
        <v>2647583</v>
      </c>
      <c r="BA134" s="36">
        <f t="shared" si="118"/>
        <v>460889</v>
      </c>
      <c r="BB134" s="36">
        <f t="shared" si="118"/>
        <v>1417103</v>
      </c>
      <c r="BC134" s="36">
        <f t="shared" si="118"/>
        <v>728694</v>
      </c>
      <c r="BD134" s="186">
        <f t="shared" si="118"/>
        <v>1231872.55</v>
      </c>
      <c r="BE134" s="36">
        <f t="shared" si="118"/>
        <v>1149.6400000000001</v>
      </c>
      <c r="BF134" s="36">
        <f t="shared" si="118"/>
        <v>1106858.2</v>
      </c>
      <c r="BG134" s="36">
        <f t="shared" si="118"/>
        <v>185722</v>
      </c>
      <c r="BH134" s="36">
        <f t="shared" si="118"/>
        <v>62479.57</v>
      </c>
      <c r="BI134" s="36">
        <f t="shared" si="118"/>
        <v>0</v>
      </c>
      <c r="BJ134" s="36">
        <f t="shared" si="118"/>
        <v>1184045</v>
      </c>
      <c r="BK134" s="36">
        <f t="shared" si="118"/>
        <v>0</v>
      </c>
      <c r="BL134" s="36">
        <f t="shared" si="118"/>
        <v>150334</v>
      </c>
      <c r="BM134" s="36">
        <f t="shared" si="118"/>
        <v>0</v>
      </c>
      <c r="BN134" s="36">
        <f t="shared" ref="BN134:CU134" si="119">BN30</f>
        <v>0</v>
      </c>
      <c r="BO134" s="36">
        <f t="shared" si="119"/>
        <v>0</v>
      </c>
      <c r="BP134" s="36">
        <f t="shared" si="119"/>
        <v>0</v>
      </c>
      <c r="BQ134" s="36">
        <f t="shared" si="119"/>
        <v>0</v>
      </c>
      <c r="BR134" s="36">
        <f t="shared" si="119"/>
        <v>0</v>
      </c>
      <c r="BS134" s="36">
        <f t="shared" si="119"/>
        <v>0</v>
      </c>
      <c r="BT134" s="36">
        <f t="shared" si="119"/>
        <v>0</v>
      </c>
      <c r="BU134" s="36">
        <f t="shared" si="119"/>
        <v>0</v>
      </c>
      <c r="BV134" s="36">
        <f t="shared" si="119"/>
        <v>0</v>
      </c>
      <c r="BW134" s="36">
        <f t="shared" si="119"/>
        <v>1321724</v>
      </c>
      <c r="BX134" s="36">
        <f t="shared" si="119"/>
        <v>764136</v>
      </c>
      <c r="BY134" s="36">
        <f t="shared" si="119"/>
        <v>10000</v>
      </c>
      <c r="BZ134" s="36">
        <f t="shared" si="119"/>
        <v>0</v>
      </c>
      <c r="CA134" s="36">
        <f t="shared" si="119"/>
        <v>82039</v>
      </c>
      <c r="CB134" s="36">
        <f t="shared" si="119"/>
        <v>219559</v>
      </c>
      <c r="CC134" s="36">
        <f t="shared" si="119"/>
        <v>10000</v>
      </c>
      <c r="CD134" s="36">
        <f t="shared" si="119"/>
        <v>279366</v>
      </c>
      <c r="CE134" s="36">
        <f t="shared" si="119"/>
        <v>186597</v>
      </c>
      <c r="CF134" s="36">
        <f t="shared" si="119"/>
        <v>234716</v>
      </c>
      <c r="CG134" s="36">
        <f t="shared" si="119"/>
        <v>221600</v>
      </c>
      <c r="CH134" s="36">
        <f t="shared" si="119"/>
        <v>1251066</v>
      </c>
      <c r="CI134" s="36">
        <f t="shared" si="119"/>
        <v>1820147</v>
      </c>
      <c r="CJ134" s="36">
        <f t="shared" si="119"/>
        <v>1506961</v>
      </c>
      <c r="CK134" s="36">
        <f t="shared" si="119"/>
        <v>45000</v>
      </c>
      <c r="CL134" s="36">
        <f t="shared" si="119"/>
        <v>247002</v>
      </c>
      <c r="CM134" s="36">
        <f t="shared" si="119"/>
        <v>170233</v>
      </c>
      <c r="CN134" s="36">
        <f t="shared" si="119"/>
        <v>500</v>
      </c>
      <c r="CO134" s="36">
        <f t="shared" si="119"/>
        <v>0</v>
      </c>
      <c r="CP134" s="36">
        <f t="shared" si="119"/>
        <v>64362</v>
      </c>
      <c r="CQ134" s="36">
        <f t="shared" si="119"/>
        <v>0</v>
      </c>
      <c r="CR134" s="36">
        <f t="shared" si="119"/>
        <v>1021</v>
      </c>
      <c r="CS134" s="36">
        <f t="shared" si="119"/>
        <v>0</v>
      </c>
      <c r="CT134" s="36">
        <f t="shared" si="119"/>
        <v>7500</v>
      </c>
      <c r="CU134" s="351">
        <f t="shared" si="119"/>
        <v>0</v>
      </c>
      <c r="CV134" s="189"/>
    </row>
    <row r="135" spans="1:100" x14ac:dyDescent="0.2">
      <c r="A135" s="3" t="s">
        <v>128</v>
      </c>
      <c r="B135" s="25" t="s">
        <v>53</v>
      </c>
      <c r="C135" s="50">
        <f t="shared" ref="C135:AH135" si="120">C122</f>
        <v>106162217.91999997</v>
      </c>
      <c r="D135" s="26">
        <f t="shared" si="120"/>
        <v>24897372.869999997</v>
      </c>
      <c r="E135" s="26">
        <f t="shared" si="120"/>
        <v>4232471.93</v>
      </c>
      <c r="F135" s="26">
        <f t="shared" si="120"/>
        <v>0</v>
      </c>
      <c r="G135" s="26">
        <f t="shared" si="120"/>
        <v>27624285.59</v>
      </c>
      <c r="H135" s="26">
        <f t="shared" si="120"/>
        <v>3255868.71</v>
      </c>
      <c r="I135" s="26">
        <f t="shared" si="120"/>
        <v>768727.4</v>
      </c>
      <c r="J135" s="26">
        <f t="shared" si="120"/>
        <v>6492246.8599999994</v>
      </c>
      <c r="K135" s="26">
        <f t="shared" si="120"/>
        <v>0</v>
      </c>
      <c r="L135" s="26">
        <f t="shared" si="120"/>
        <v>0</v>
      </c>
      <c r="M135" s="26">
        <f t="shared" si="120"/>
        <v>164496.56</v>
      </c>
      <c r="N135" s="26">
        <f t="shared" si="120"/>
        <v>9256231.5600000005</v>
      </c>
      <c r="O135" s="26">
        <f t="shared" si="120"/>
        <v>676068</v>
      </c>
      <c r="P135" s="26">
        <f t="shared" si="120"/>
        <v>856877</v>
      </c>
      <c r="Q135" s="26">
        <f t="shared" si="120"/>
        <v>2463759</v>
      </c>
      <c r="R135" s="26">
        <f t="shared" si="120"/>
        <v>47613</v>
      </c>
      <c r="S135" s="26">
        <f t="shared" si="120"/>
        <v>421792</v>
      </c>
      <c r="T135" s="26">
        <f t="shared" si="120"/>
        <v>298504</v>
      </c>
      <c r="U135" s="26">
        <f t="shared" si="120"/>
        <v>13009</v>
      </c>
      <c r="V135" s="26">
        <f t="shared" si="120"/>
        <v>501689.24</v>
      </c>
      <c r="W135" s="26">
        <f t="shared" si="120"/>
        <v>160244.38</v>
      </c>
      <c r="X135" s="26">
        <f t="shared" si="120"/>
        <v>30753.17</v>
      </c>
      <c r="Y135" s="26">
        <f t="shared" si="120"/>
        <v>0</v>
      </c>
      <c r="Z135" s="26">
        <f t="shared" si="120"/>
        <v>1954141.3900000001</v>
      </c>
      <c r="AA135" s="26">
        <f t="shared" si="120"/>
        <v>148350.35999999999</v>
      </c>
      <c r="AB135" s="26">
        <f t="shared" si="120"/>
        <v>0</v>
      </c>
      <c r="AC135" s="26">
        <f t="shared" si="120"/>
        <v>0</v>
      </c>
      <c r="AD135" s="26">
        <f t="shared" si="120"/>
        <v>653786.96</v>
      </c>
      <c r="AE135" s="26">
        <f t="shared" si="120"/>
        <v>968510.5</v>
      </c>
      <c r="AF135" s="26">
        <f t="shared" si="120"/>
        <v>0</v>
      </c>
      <c r="AG135" s="26">
        <f t="shared" si="120"/>
        <v>51836.13</v>
      </c>
      <c r="AH135" s="26">
        <f t="shared" si="120"/>
        <v>55494</v>
      </c>
      <c r="AI135" s="26">
        <f t="shared" ref="AI135:BN135" si="121">AI122</f>
        <v>803151.99</v>
      </c>
      <c r="AJ135" s="26">
        <f t="shared" si="121"/>
        <v>0</v>
      </c>
      <c r="AK135" s="26">
        <f t="shared" si="121"/>
        <v>8201.26</v>
      </c>
      <c r="AL135" s="26">
        <f t="shared" si="121"/>
        <v>23254.959999999999</v>
      </c>
      <c r="AM135" s="26">
        <f t="shared" si="121"/>
        <v>525141.6</v>
      </c>
      <c r="AN135" s="26">
        <f t="shared" si="121"/>
        <v>120565.78999999995</v>
      </c>
      <c r="AO135" s="26">
        <f t="shared" si="121"/>
        <v>12709.28</v>
      </c>
      <c r="AP135" s="26">
        <f t="shared" si="121"/>
        <v>494656</v>
      </c>
      <c r="AQ135" s="26">
        <f t="shared" si="121"/>
        <v>152341.6</v>
      </c>
      <c r="AR135" s="26">
        <f t="shared" si="121"/>
        <v>302090.31</v>
      </c>
      <c r="AS135" s="26">
        <f t="shared" si="121"/>
        <v>770397.48</v>
      </c>
      <c r="AT135" s="26">
        <f t="shared" si="121"/>
        <v>0</v>
      </c>
      <c r="AU135" s="26">
        <f t="shared" si="121"/>
        <v>0</v>
      </c>
      <c r="AV135" s="26">
        <f t="shared" si="121"/>
        <v>0</v>
      </c>
      <c r="AW135" s="26">
        <f t="shared" si="121"/>
        <v>2504176.66</v>
      </c>
      <c r="AX135" s="26">
        <f t="shared" si="121"/>
        <v>79703.360000000001</v>
      </c>
      <c r="AY135" s="26">
        <f t="shared" si="121"/>
        <v>0</v>
      </c>
      <c r="AZ135" s="26">
        <f t="shared" si="121"/>
        <v>2502591.8499999996</v>
      </c>
      <c r="BA135" s="26">
        <f t="shared" si="121"/>
        <v>429816.49</v>
      </c>
      <c r="BB135" s="26">
        <f t="shared" si="121"/>
        <v>1341332.19</v>
      </c>
      <c r="BC135" s="26">
        <f t="shared" si="121"/>
        <v>514724.03</v>
      </c>
      <c r="BD135" s="179">
        <f t="shared" si="121"/>
        <v>964706.96</v>
      </c>
      <c r="BE135" s="26">
        <f t="shared" si="121"/>
        <v>1149.6400000000001</v>
      </c>
      <c r="BF135" s="26">
        <f t="shared" si="121"/>
        <v>803560.29</v>
      </c>
      <c r="BG135" s="26">
        <f t="shared" si="121"/>
        <v>84317</v>
      </c>
      <c r="BH135" s="26">
        <f t="shared" si="121"/>
        <v>45651</v>
      </c>
      <c r="BI135" s="26">
        <f t="shared" si="121"/>
        <v>0</v>
      </c>
      <c r="BJ135" s="26">
        <f t="shared" si="121"/>
        <v>1038899.4</v>
      </c>
      <c r="BK135" s="26">
        <f t="shared" si="121"/>
        <v>0</v>
      </c>
      <c r="BL135" s="26">
        <f t="shared" si="121"/>
        <v>104261.77</v>
      </c>
      <c r="BM135" s="26">
        <f t="shared" si="121"/>
        <v>0</v>
      </c>
      <c r="BN135" s="26">
        <f t="shared" si="121"/>
        <v>0</v>
      </c>
      <c r="BO135" s="26">
        <f t="shared" ref="BO135:CU135" si="122">BO122</f>
        <v>33278</v>
      </c>
      <c r="BP135" s="26">
        <f t="shared" si="122"/>
        <v>0</v>
      </c>
      <c r="BQ135" s="26">
        <f t="shared" si="122"/>
        <v>0</v>
      </c>
      <c r="BR135" s="26">
        <f t="shared" si="122"/>
        <v>0</v>
      </c>
      <c r="BS135" s="26">
        <f t="shared" si="122"/>
        <v>0</v>
      </c>
      <c r="BT135" s="26">
        <f t="shared" si="122"/>
        <v>0</v>
      </c>
      <c r="BU135" s="26">
        <f t="shared" si="122"/>
        <v>0</v>
      </c>
      <c r="BV135" s="26">
        <f t="shared" si="122"/>
        <v>0</v>
      </c>
      <c r="BW135" s="26">
        <f t="shared" si="122"/>
        <v>1083398.8</v>
      </c>
      <c r="BX135" s="26">
        <f t="shared" si="122"/>
        <v>464549.73</v>
      </c>
      <c r="BY135" s="26">
        <f t="shared" si="122"/>
        <v>30</v>
      </c>
      <c r="BZ135" s="26">
        <f t="shared" si="122"/>
        <v>0</v>
      </c>
      <c r="CA135" s="26">
        <f t="shared" si="122"/>
        <v>70256</v>
      </c>
      <c r="CB135" s="26">
        <f t="shared" si="122"/>
        <v>199718</v>
      </c>
      <c r="CC135" s="26">
        <f t="shared" si="122"/>
        <v>10000</v>
      </c>
      <c r="CD135" s="26">
        <f t="shared" si="122"/>
        <v>220190</v>
      </c>
      <c r="CE135" s="26">
        <f t="shared" si="122"/>
        <v>154471</v>
      </c>
      <c r="CF135" s="26">
        <f t="shared" si="122"/>
        <v>128467</v>
      </c>
      <c r="CG135" s="26">
        <f t="shared" si="122"/>
        <v>148151</v>
      </c>
      <c r="CH135" s="26">
        <f t="shared" si="122"/>
        <v>940511</v>
      </c>
      <c r="CI135" s="26">
        <f t="shared" si="122"/>
        <v>1353263</v>
      </c>
      <c r="CJ135" s="26">
        <f t="shared" si="122"/>
        <v>1411843</v>
      </c>
      <c r="CK135" s="26">
        <f t="shared" si="122"/>
        <v>30560</v>
      </c>
      <c r="CL135" s="26">
        <f t="shared" si="122"/>
        <v>144190</v>
      </c>
      <c r="CM135" s="26">
        <f t="shared" si="122"/>
        <v>76466.87</v>
      </c>
      <c r="CN135" s="26">
        <f t="shared" si="122"/>
        <v>0</v>
      </c>
      <c r="CO135" s="26">
        <f t="shared" si="122"/>
        <v>0</v>
      </c>
      <c r="CP135" s="26">
        <f t="shared" si="122"/>
        <v>62823</v>
      </c>
      <c r="CQ135" s="26">
        <f t="shared" si="122"/>
        <v>0</v>
      </c>
      <c r="CR135" s="26">
        <f t="shared" si="122"/>
        <v>1021</v>
      </c>
      <c r="CS135" s="26">
        <f t="shared" si="122"/>
        <v>0</v>
      </c>
      <c r="CT135" s="26">
        <f t="shared" si="122"/>
        <v>7500</v>
      </c>
      <c r="CU135" s="352">
        <f t="shared" si="122"/>
        <v>0</v>
      </c>
      <c r="CV135" s="189"/>
    </row>
    <row r="136" spans="1:100" s="4" customFormat="1" x14ac:dyDescent="0.2">
      <c r="A136" s="3" t="s">
        <v>129</v>
      </c>
      <c r="B136" s="25" t="s">
        <v>54</v>
      </c>
      <c r="C136" s="51">
        <f t="shared" ref="C136:D136" si="123">C126</f>
        <v>1835850</v>
      </c>
      <c r="D136" s="28">
        <f t="shared" si="123"/>
        <v>0</v>
      </c>
      <c r="E136" s="28">
        <f t="shared" ref="E136:BI136" si="124">E126</f>
        <v>0</v>
      </c>
      <c r="F136" s="28">
        <f t="shared" si="124"/>
        <v>0</v>
      </c>
      <c r="G136" s="28">
        <f t="shared" si="124"/>
        <v>0</v>
      </c>
      <c r="H136" s="28">
        <f t="shared" si="124"/>
        <v>0</v>
      </c>
      <c r="I136" s="28">
        <f t="shared" ref="I136:L136" si="125">I126</f>
        <v>0</v>
      </c>
      <c r="J136" s="28">
        <f t="shared" si="125"/>
        <v>0</v>
      </c>
      <c r="K136" s="28">
        <f t="shared" si="125"/>
        <v>0</v>
      </c>
      <c r="L136" s="28">
        <f t="shared" si="125"/>
        <v>0</v>
      </c>
      <c r="M136" s="28">
        <f t="shared" ref="M136:N136" si="126">M126</f>
        <v>0</v>
      </c>
      <c r="N136" s="28">
        <f t="shared" si="126"/>
        <v>0</v>
      </c>
      <c r="O136" s="28">
        <f t="shared" si="124"/>
        <v>0</v>
      </c>
      <c r="P136" s="28">
        <f t="shared" ref="P136:U136" si="127">P126</f>
        <v>0</v>
      </c>
      <c r="Q136" s="28">
        <f t="shared" si="127"/>
        <v>0</v>
      </c>
      <c r="R136" s="28">
        <f t="shared" si="127"/>
        <v>0</v>
      </c>
      <c r="S136" s="28">
        <f t="shared" si="127"/>
        <v>0</v>
      </c>
      <c r="T136" s="28">
        <f t="shared" si="127"/>
        <v>0</v>
      </c>
      <c r="U136" s="28">
        <f t="shared" si="127"/>
        <v>0</v>
      </c>
      <c r="V136" s="28">
        <f t="shared" si="124"/>
        <v>0</v>
      </c>
      <c r="W136" s="28">
        <f t="shared" ref="W136:AH136" si="128">W126</f>
        <v>0</v>
      </c>
      <c r="X136" s="28">
        <f t="shared" si="128"/>
        <v>0</v>
      </c>
      <c r="Y136" s="28">
        <f t="shared" si="128"/>
        <v>0</v>
      </c>
      <c r="Z136" s="28">
        <f t="shared" si="128"/>
        <v>0</v>
      </c>
      <c r="AA136" s="28">
        <f t="shared" si="128"/>
        <v>0</v>
      </c>
      <c r="AB136" s="28">
        <f t="shared" si="128"/>
        <v>0</v>
      </c>
      <c r="AC136" s="28">
        <f t="shared" si="128"/>
        <v>0</v>
      </c>
      <c r="AD136" s="28">
        <f t="shared" si="128"/>
        <v>0</v>
      </c>
      <c r="AE136" s="28">
        <f t="shared" si="128"/>
        <v>0</v>
      </c>
      <c r="AF136" s="28">
        <f t="shared" si="128"/>
        <v>0</v>
      </c>
      <c r="AG136" s="28">
        <f t="shared" si="128"/>
        <v>0</v>
      </c>
      <c r="AH136" s="28">
        <f t="shared" si="128"/>
        <v>0</v>
      </c>
      <c r="AI136" s="28">
        <f>AI126</f>
        <v>0</v>
      </c>
      <c r="AJ136" s="28">
        <f>AJ126</f>
        <v>0</v>
      </c>
      <c r="AK136" s="28">
        <f>AK126</f>
        <v>0</v>
      </c>
      <c r="AL136" s="28">
        <f t="shared" si="124"/>
        <v>0</v>
      </c>
      <c r="AM136" s="28">
        <f t="shared" ref="AM136:BE136" si="129">AM126</f>
        <v>0</v>
      </c>
      <c r="AN136" s="28">
        <f t="shared" si="129"/>
        <v>0</v>
      </c>
      <c r="AO136" s="28">
        <f t="shared" si="129"/>
        <v>0</v>
      </c>
      <c r="AP136" s="28">
        <f t="shared" si="129"/>
        <v>0</v>
      </c>
      <c r="AQ136" s="28">
        <f t="shared" si="129"/>
        <v>0</v>
      </c>
      <c r="AR136" s="28">
        <f t="shared" si="129"/>
        <v>0</v>
      </c>
      <c r="AS136" s="28">
        <f t="shared" si="129"/>
        <v>0</v>
      </c>
      <c r="AT136" s="28">
        <f t="shared" si="129"/>
        <v>0</v>
      </c>
      <c r="AU136" s="28">
        <f t="shared" si="129"/>
        <v>1835850</v>
      </c>
      <c r="AV136" s="28">
        <f t="shared" si="129"/>
        <v>0</v>
      </c>
      <c r="AW136" s="28">
        <f t="shared" si="129"/>
        <v>0</v>
      </c>
      <c r="AX136" s="28">
        <f t="shared" si="129"/>
        <v>0</v>
      </c>
      <c r="AY136" s="28">
        <f t="shared" si="129"/>
        <v>0</v>
      </c>
      <c r="AZ136" s="28">
        <f t="shared" si="129"/>
        <v>0</v>
      </c>
      <c r="BA136" s="28">
        <f t="shared" si="129"/>
        <v>0</v>
      </c>
      <c r="BB136" s="28">
        <f t="shared" si="129"/>
        <v>0</v>
      </c>
      <c r="BC136" s="28">
        <f t="shared" si="129"/>
        <v>0</v>
      </c>
      <c r="BD136" s="183">
        <f t="shared" si="129"/>
        <v>0</v>
      </c>
      <c r="BE136" s="28">
        <f t="shared" si="129"/>
        <v>0</v>
      </c>
      <c r="BF136" s="28">
        <f t="shared" si="124"/>
        <v>0</v>
      </c>
      <c r="BG136" s="28">
        <f t="shared" si="124"/>
        <v>0</v>
      </c>
      <c r="BH136" s="28">
        <f t="shared" si="124"/>
        <v>0</v>
      </c>
      <c r="BI136" s="28">
        <f t="shared" si="124"/>
        <v>0</v>
      </c>
      <c r="BJ136" s="28">
        <f>BJ126</f>
        <v>0</v>
      </c>
      <c r="BK136" s="28">
        <f>BK126</f>
        <v>0</v>
      </c>
      <c r="BL136" s="28">
        <f t="shared" ref="BL136:BT136" si="130">BL126</f>
        <v>0</v>
      </c>
      <c r="BM136" s="28">
        <f t="shared" si="130"/>
        <v>0</v>
      </c>
      <c r="BN136" s="28">
        <f t="shared" si="130"/>
        <v>0</v>
      </c>
      <c r="BO136" s="28">
        <f t="shared" si="130"/>
        <v>0</v>
      </c>
      <c r="BP136" s="28">
        <f t="shared" si="130"/>
        <v>0</v>
      </c>
      <c r="BQ136" s="28">
        <f t="shared" si="130"/>
        <v>0</v>
      </c>
      <c r="BR136" s="28">
        <f t="shared" si="130"/>
        <v>0</v>
      </c>
      <c r="BS136" s="28">
        <f t="shared" si="130"/>
        <v>0</v>
      </c>
      <c r="BT136" s="28">
        <f t="shared" si="130"/>
        <v>0</v>
      </c>
      <c r="BU136" s="28">
        <f>BU126</f>
        <v>0</v>
      </c>
      <c r="BV136" s="28">
        <f>BV126</f>
        <v>0</v>
      </c>
      <c r="BW136" s="28">
        <f>BW126</f>
        <v>0</v>
      </c>
      <c r="BX136" s="28">
        <f>BX126</f>
        <v>0</v>
      </c>
      <c r="BY136" s="28">
        <f>BY126</f>
        <v>0</v>
      </c>
      <c r="BZ136" s="28">
        <f t="shared" ref="BZ136" si="131">BZ126</f>
        <v>0</v>
      </c>
      <c r="CA136" s="28">
        <f t="shared" ref="CA136:CF136" si="132">CA126</f>
        <v>0</v>
      </c>
      <c r="CB136" s="28">
        <f t="shared" si="132"/>
        <v>0</v>
      </c>
      <c r="CC136" s="28">
        <f t="shared" si="132"/>
        <v>0</v>
      </c>
      <c r="CD136" s="28">
        <f t="shared" si="132"/>
        <v>0</v>
      </c>
      <c r="CE136" s="28">
        <f t="shared" si="132"/>
        <v>0</v>
      </c>
      <c r="CF136" s="28">
        <f t="shared" si="132"/>
        <v>0</v>
      </c>
      <c r="CG136" s="28">
        <f t="shared" ref="CG136:CU136" si="133">CG126</f>
        <v>0</v>
      </c>
      <c r="CH136" s="28">
        <f t="shared" si="133"/>
        <v>0</v>
      </c>
      <c r="CI136" s="28">
        <f t="shared" si="133"/>
        <v>0</v>
      </c>
      <c r="CJ136" s="28">
        <f t="shared" si="133"/>
        <v>0</v>
      </c>
      <c r="CK136" s="28">
        <f t="shared" si="133"/>
        <v>0</v>
      </c>
      <c r="CL136" s="28">
        <f t="shared" si="133"/>
        <v>0</v>
      </c>
      <c r="CM136" s="28">
        <f t="shared" si="133"/>
        <v>0</v>
      </c>
      <c r="CN136" s="28">
        <f t="shared" si="133"/>
        <v>0</v>
      </c>
      <c r="CO136" s="28">
        <f t="shared" si="133"/>
        <v>0</v>
      </c>
      <c r="CP136" s="28">
        <f t="shared" si="133"/>
        <v>0</v>
      </c>
      <c r="CQ136" s="28">
        <f t="shared" si="133"/>
        <v>0</v>
      </c>
      <c r="CR136" s="28">
        <f t="shared" si="133"/>
        <v>0</v>
      </c>
      <c r="CS136" s="28">
        <f t="shared" si="133"/>
        <v>0</v>
      </c>
      <c r="CT136" s="28">
        <f t="shared" si="133"/>
        <v>0</v>
      </c>
      <c r="CU136" s="353">
        <f t="shared" si="133"/>
        <v>0</v>
      </c>
      <c r="CV136" s="190"/>
    </row>
    <row r="137" spans="1:100" ht="13.5" thickBot="1" x14ac:dyDescent="0.25">
      <c r="A137" s="3" t="s">
        <v>130</v>
      </c>
      <c r="B137" s="46" t="s">
        <v>1013</v>
      </c>
      <c r="C137" s="48">
        <f>SUM(D137:DX137)</f>
        <v>21392198.020000003</v>
      </c>
      <c r="D137" s="41">
        <f t="shared" ref="D137:BI137" si="134">D134-D135-D136</f>
        <v>237400.13000000268</v>
      </c>
      <c r="E137" s="41">
        <f t="shared" si="134"/>
        <v>11501012.24</v>
      </c>
      <c r="F137" s="41">
        <f t="shared" si="134"/>
        <v>0</v>
      </c>
      <c r="G137" s="41">
        <f t="shared" si="134"/>
        <v>3473849.41</v>
      </c>
      <c r="H137" s="41">
        <f t="shared" si="134"/>
        <v>2681778.5699999994</v>
      </c>
      <c r="I137" s="41">
        <f t="shared" ref="I137:L137" si="135">I134-I135-I136</f>
        <v>444503.99000000011</v>
      </c>
      <c r="J137" s="41">
        <f t="shared" si="135"/>
        <v>-0.27999999932944775</v>
      </c>
      <c r="K137" s="41">
        <f t="shared" si="135"/>
        <v>0</v>
      </c>
      <c r="L137" s="41">
        <f t="shared" si="135"/>
        <v>0</v>
      </c>
      <c r="M137" s="41">
        <f t="shared" ref="M137:N137" si="136">M134-M135-M136</f>
        <v>104269.44</v>
      </c>
      <c r="N137" s="41">
        <f t="shared" si="136"/>
        <v>459585.43999999948</v>
      </c>
      <c r="O137" s="41">
        <f t="shared" si="134"/>
        <v>217305.11</v>
      </c>
      <c r="P137" s="41">
        <f t="shared" ref="P137:U137" si="137">P134-P135-P136</f>
        <v>51392.469999999972</v>
      </c>
      <c r="Q137" s="41">
        <f t="shared" si="137"/>
        <v>227185.35000000009</v>
      </c>
      <c r="R137" s="41">
        <f t="shared" si="137"/>
        <v>43625.369999999995</v>
      </c>
      <c r="S137" s="41">
        <f t="shared" si="137"/>
        <v>64204</v>
      </c>
      <c r="T137" s="41">
        <f t="shared" si="137"/>
        <v>1114</v>
      </c>
      <c r="U137" s="41">
        <f t="shared" si="137"/>
        <v>4391</v>
      </c>
      <c r="V137" s="41">
        <f t="shared" si="134"/>
        <v>66196.050000000047</v>
      </c>
      <c r="W137" s="41">
        <f t="shared" ref="W137:AH137" si="138">W134-W135-W136</f>
        <v>3199.1300000000047</v>
      </c>
      <c r="X137" s="41">
        <f t="shared" si="138"/>
        <v>6549.8300000000017</v>
      </c>
      <c r="Y137" s="41">
        <f t="shared" si="138"/>
        <v>0</v>
      </c>
      <c r="Z137" s="41">
        <f t="shared" si="138"/>
        <v>95461.449999999953</v>
      </c>
      <c r="AA137" s="41">
        <f t="shared" si="138"/>
        <v>114376.20000000001</v>
      </c>
      <c r="AB137" s="41">
        <f t="shared" si="138"/>
        <v>0</v>
      </c>
      <c r="AC137" s="41">
        <f t="shared" si="138"/>
        <v>0</v>
      </c>
      <c r="AD137" s="41">
        <f t="shared" si="138"/>
        <v>105275.48999999999</v>
      </c>
      <c r="AE137" s="41">
        <f t="shared" si="138"/>
        <v>257137.04000000004</v>
      </c>
      <c r="AF137" s="41">
        <f t="shared" si="138"/>
        <v>0</v>
      </c>
      <c r="AG137" s="41">
        <f t="shared" si="138"/>
        <v>1220.8700000000026</v>
      </c>
      <c r="AH137" s="41">
        <f t="shared" si="138"/>
        <v>46427</v>
      </c>
      <c r="AI137" s="41">
        <f>AI134-AI135-AI136</f>
        <v>31204.010000000009</v>
      </c>
      <c r="AJ137" s="41">
        <f>AJ134-AJ135-AJ136</f>
        <v>0</v>
      </c>
      <c r="AK137" s="41">
        <f>AK134-AK135-AK136</f>
        <v>4698.74</v>
      </c>
      <c r="AL137" s="41">
        <f t="shared" si="134"/>
        <v>73021.920000000013</v>
      </c>
      <c r="AM137" s="41">
        <f t="shared" ref="AM137:BE137" si="139">AM134-AM135-AM136</f>
        <v>17967.469999999972</v>
      </c>
      <c r="AN137" s="41">
        <f t="shared" si="139"/>
        <v>4620.2100000000501</v>
      </c>
      <c r="AO137" s="41">
        <f t="shared" si="139"/>
        <v>12290.72</v>
      </c>
      <c r="AP137" s="41">
        <f t="shared" si="139"/>
        <v>-494656</v>
      </c>
      <c r="AQ137" s="41">
        <f t="shared" si="139"/>
        <v>-152341.6</v>
      </c>
      <c r="AR137" s="41">
        <f t="shared" si="139"/>
        <v>36526.69</v>
      </c>
      <c r="AS137" s="41">
        <f t="shared" si="139"/>
        <v>69713.520000000019</v>
      </c>
      <c r="AT137" s="41">
        <f t="shared" si="139"/>
        <v>0</v>
      </c>
      <c r="AU137" s="41">
        <f t="shared" si="139"/>
        <v>-1835850</v>
      </c>
      <c r="AV137" s="41">
        <f t="shared" si="139"/>
        <v>0</v>
      </c>
      <c r="AW137" s="41">
        <f t="shared" si="139"/>
        <v>167070.45999999996</v>
      </c>
      <c r="AX137" s="41">
        <f t="shared" si="139"/>
        <v>1911.6399999999994</v>
      </c>
      <c r="AY137" s="41">
        <f t="shared" si="139"/>
        <v>0</v>
      </c>
      <c r="AZ137" s="41">
        <f t="shared" si="139"/>
        <v>144991.15000000037</v>
      </c>
      <c r="BA137" s="41">
        <f t="shared" si="139"/>
        <v>31072.510000000009</v>
      </c>
      <c r="BB137" s="41">
        <f t="shared" si="139"/>
        <v>75770.810000000056</v>
      </c>
      <c r="BC137" s="41">
        <f t="shared" si="139"/>
        <v>213969.96999999997</v>
      </c>
      <c r="BD137" s="354">
        <f t="shared" si="139"/>
        <v>267165.59000000008</v>
      </c>
      <c r="BE137" s="41">
        <f t="shared" si="139"/>
        <v>0</v>
      </c>
      <c r="BF137" s="41">
        <f t="shared" si="134"/>
        <v>303297.90999999992</v>
      </c>
      <c r="BG137" s="41">
        <f t="shared" si="134"/>
        <v>101405</v>
      </c>
      <c r="BH137" s="41">
        <f t="shared" si="134"/>
        <v>16828.57</v>
      </c>
      <c r="BI137" s="41">
        <f t="shared" si="134"/>
        <v>0</v>
      </c>
      <c r="BJ137" s="41">
        <f>BJ134-BJ135-BJ136</f>
        <v>145145.59999999998</v>
      </c>
      <c r="BK137" s="41">
        <f>BK134-BK135-BK136</f>
        <v>0</v>
      </c>
      <c r="BL137" s="41">
        <f t="shared" ref="BL137:BT137" si="140">BL134-BL135-BL136</f>
        <v>46072.229999999996</v>
      </c>
      <c r="BM137" s="41">
        <f t="shared" si="140"/>
        <v>0</v>
      </c>
      <c r="BN137" s="41">
        <f t="shared" si="140"/>
        <v>0</v>
      </c>
      <c r="BO137" s="41">
        <f t="shared" si="140"/>
        <v>-33278</v>
      </c>
      <c r="BP137" s="41">
        <f t="shared" si="140"/>
        <v>0</v>
      </c>
      <c r="BQ137" s="41">
        <f t="shared" si="140"/>
        <v>0</v>
      </c>
      <c r="BR137" s="41">
        <f t="shared" si="140"/>
        <v>0</v>
      </c>
      <c r="BS137" s="41">
        <f t="shared" si="140"/>
        <v>0</v>
      </c>
      <c r="BT137" s="41">
        <f t="shared" si="140"/>
        <v>0</v>
      </c>
      <c r="BU137" s="41">
        <f>BU134-BU135-BU136</f>
        <v>0</v>
      </c>
      <c r="BV137" s="41">
        <f>BV134-BV135-BV136</f>
        <v>0</v>
      </c>
      <c r="BW137" s="41">
        <f>BW134-BW135-BW136</f>
        <v>238325.19999999995</v>
      </c>
      <c r="BX137" s="41">
        <f>BX134-BX135-BX136</f>
        <v>299586.27</v>
      </c>
      <c r="BY137" s="41">
        <f>BY134-BY135-BY136</f>
        <v>9970</v>
      </c>
      <c r="BZ137" s="41">
        <f t="shared" ref="BZ137" si="141">BZ134-BZ135-BZ136</f>
        <v>0</v>
      </c>
      <c r="CA137" s="41">
        <f t="shared" ref="CA137:CF137" si="142">CA134-CA135-CA136</f>
        <v>11783</v>
      </c>
      <c r="CB137" s="41">
        <f t="shared" si="142"/>
        <v>19841</v>
      </c>
      <c r="CC137" s="41">
        <f t="shared" si="142"/>
        <v>0</v>
      </c>
      <c r="CD137" s="41">
        <f t="shared" si="142"/>
        <v>59176</v>
      </c>
      <c r="CE137" s="41">
        <f t="shared" si="142"/>
        <v>32126</v>
      </c>
      <c r="CF137" s="41">
        <f t="shared" si="142"/>
        <v>106249</v>
      </c>
      <c r="CG137" s="41">
        <f t="shared" ref="CG137:CU137" si="143">CG134-CG135-CG136</f>
        <v>73449</v>
      </c>
      <c r="CH137" s="41">
        <f t="shared" si="143"/>
        <v>310555</v>
      </c>
      <c r="CI137" s="41">
        <f t="shared" si="143"/>
        <v>466884</v>
      </c>
      <c r="CJ137" s="41">
        <f t="shared" si="143"/>
        <v>95118</v>
      </c>
      <c r="CK137" s="41">
        <f t="shared" si="143"/>
        <v>14440</v>
      </c>
      <c r="CL137" s="41">
        <f t="shared" si="143"/>
        <v>102812</v>
      </c>
      <c r="CM137" s="41">
        <f t="shared" si="143"/>
        <v>93766.13</v>
      </c>
      <c r="CN137" s="41">
        <f t="shared" si="143"/>
        <v>500</v>
      </c>
      <c r="CO137" s="41">
        <f t="shared" si="143"/>
        <v>0</v>
      </c>
      <c r="CP137" s="41">
        <f t="shared" si="143"/>
        <v>1539</v>
      </c>
      <c r="CQ137" s="41">
        <f t="shared" si="143"/>
        <v>0</v>
      </c>
      <c r="CR137" s="41">
        <f t="shared" si="143"/>
        <v>0</v>
      </c>
      <c r="CS137" s="41">
        <f t="shared" si="143"/>
        <v>0</v>
      </c>
      <c r="CT137" s="41">
        <f t="shared" si="143"/>
        <v>0</v>
      </c>
      <c r="CU137" s="345">
        <f t="shared" si="143"/>
        <v>0</v>
      </c>
      <c r="CV137" s="189"/>
    </row>
    <row r="138" spans="1:100" ht="13.5" thickBot="1" x14ac:dyDescent="0.25">
      <c r="A138" s="3"/>
      <c r="B138" s="12"/>
      <c r="C138" s="63"/>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189"/>
    </row>
    <row r="139" spans="1:100" x14ac:dyDescent="0.2">
      <c r="A139" s="3"/>
      <c r="B139" s="15" t="s">
        <v>91</v>
      </c>
      <c r="C139" s="62"/>
      <c r="D139" s="337"/>
      <c r="E139" s="337"/>
      <c r="F139" s="337"/>
      <c r="G139" s="337"/>
      <c r="H139" s="337"/>
      <c r="I139" s="337"/>
      <c r="J139" s="337"/>
      <c r="K139" s="337"/>
      <c r="L139" s="337"/>
      <c r="M139" s="337"/>
      <c r="N139" s="337"/>
      <c r="O139" s="337"/>
      <c r="P139" s="337"/>
      <c r="Q139" s="337"/>
      <c r="R139" s="337"/>
      <c r="S139" s="337"/>
      <c r="T139" s="337"/>
      <c r="U139" s="337"/>
      <c r="V139" s="337"/>
      <c r="W139" s="337"/>
      <c r="X139" s="337"/>
      <c r="Y139" s="337"/>
      <c r="Z139" s="337"/>
      <c r="AA139" s="337"/>
      <c r="AB139" s="337"/>
      <c r="AC139" s="337"/>
      <c r="AD139" s="337"/>
      <c r="AE139" s="337"/>
      <c r="AF139" s="337"/>
      <c r="AG139" s="337"/>
      <c r="AH139" s="337"/>
      <c r="AI139" s="337"/>
      <c r="AJ139" s="337"/>
      <c r="AK139" s="337"/>
      <c r="AL139" s="337"/>
      <c r="AM139" s="337"/>
      <c r="AN139" s="337"/>
      <c r="AO139" s="337"/>
      <c r="AP139" s="337"/>
      <c r="AQ139" s="337"/>
      <c r="AR139" s="337"/>
      <c r="AS139" s="337"/>
      <c r="AT139" s="337"/>
      <c r="AU139" s="337"/>
      <c r="AV139" s="337"/>
      <c r="AW139" s="337"/>
      <c r="AX139" s="337"/>
      <c r="AY139" s="337"/>
      <c r="AZ139" s="337"/>
      <c r="BA139" s="337"/>
      <c r="BB139" s="337"/>
      <c r="BC139" s="337"/>
      <c r="BD139" s="342"/>
      <c r="BE139" s="337"/>
      <c r="BF139" s="337"/>
      <c r="BG139" s="337"/>
      <c r="BH139" s="337"/>
      <c r="BI139" s="337"/>
      <c r="BJ139" s="337"/>
      <c r="BK139" s="337"/>
      <c r="BL139" s="337"/>
      <c r="BM139" s="337"/>
      <c r="BN139" s="337"/>
      <c r="BO139" s="337"/>
      <c r="BP139" s="337"/>
      <c r="BQ139" s="337"/>
      <c r="BR139" s="337"/>
      <c r="BS139" s="337"/>
      <c r="BT139" s="337"/>
      <c r="BU139" s="337"/>
      <c r="BV139" s="337"/>
      <c r="BW139" s="337"/>
      <c r="BX139" s="337"/>
      <c r="BY139" s="337"/>
      <c r="BZ139" s="337"/>
      <c r="CA139" s="337"/>
      <c r="CB139" s="337"/>
      <c r="CC139" s="337"/>
      <c r="CD139" s="337"/>
      <c r="CE139" s="337"/>
      <c r="CF139" s="337"/>
      <c r="CG139" s="337"/>
      <c r="CH139" s="337"/>
      <c r="CI139" s="337"/>
      <c r="CJ139" s="337"/>
      <c r="CK139" s="337"/>
      <c r="CL139" s="337"/>
      <c r="CM139" s="337"/>
      <c r="CN139" s="337"/>
      <c r="CO139" s="337"/>
      <c r="CP139" s="337"/>
      <c r="CQ139" s="337"/>
      <c r="CR139" s="337"/>
      <c r="CS139" s="337"/>
      <c r="CT139" s="337"/>
      <c r="CU139" s="343"/>
      <c r="CV139" s="189"/>
    </row>
    <row r="140" spans="1:100" ht="51" x14ac:dyDescent="0.2">
      <c r="A140" s="3" t="s">
        <v>131</v>
      </c>
      <c r="B140" s="25" t="str">
        <f t="shared" ref="B140:AG140" si="144">B15</f>
        <v>Fund Description</v>
      </c>
      <c r="C140" s="68"/>
      <c r="D140" s="60" t="str">
        <f t="shared" si="144"/>
        <v>General Fund</v>
      </c>
      <c r="E140" s="60" t="str">
        <f t="shared" si="144"/>
        <v>General Fund</v>
      </c>
      <c r="F140" s="60" t="str">
        <f t="shared" si="144"/>
        <v>Indirect Cost Recov;      General Revenue</v>
      </c>
      <c r="G140" s="60" t="str">
        <f t="shared" si="144"/>
        <v xml:space="preserve">Federal </v>
      </c>
      <c r="H140" s="60" t="str">
        <f t="shared" si="144"/>
        <v>Capital Proj-Federal</v>
      </c>
      <c r="I140" s="60" t="str">
        <f t="shared" si="144"/>
        <v>Capital Projects-State Appropriations</v>
      </c>
      <c r="J140" s="60" t="str">
        <f t="shared" si="144"/>
        <v>Capital Projects - Other Funds</v>
      </c>
      <c r="K140" s="60" t="str">
        <f t="shared" si="144"/>
        <v>Fish &amp; Wildlife Deferred License</v>
      </c>
      <c r="L140" s="60" t="str">
        <f t="shared" si="144"/>
        <v xml:space="preserve">Boat Titling/Registration-DOR Casual Tax </v>
      </c>
      <c r="M140" s="60" t="str">
        <f t="shared" si="144"/>
        <v>County Game &amp; Fish Fund</v>
      </c>
      <c r="N140" s="60" t="str">
        <f t="shared" si="144"/>
        <v>Fish &amp; Wildlife Protection Fund</v>
      </c>
      <c r="O140" s="60" t="str">
        <f t="shared" si="144"/>
        <v>Other Operating-Law Enforcement</v>
      </c>
      <c r="P140" s="60" t="str">
        <f t="shared" si="144"/>
        <v>County Water Recreation Funds-Law Enforcement</v>
      </c>
      <c r="Q140" s="60" t="str">
        <f t="shared" si="144"/>
        <v xml:space="preserve">Boat Titling/Registration- Drew's Law-Law Enforcement </v>
      </c>
      <c r="R140" s="60" t="str">
        <f t="shared" si="144"/>
        <v xml:space="preserve">Boat Titling/Registration- Law Enforcement Inventory </v>
      </c>
      <c r="S140" s="60" t="str">
        <f t="shared" si="144"/>
        <v>Fish &amp; Wildlife Protection Fund-Law Enforcement</v>
      </c>
      <c r="T140" s="60" t="str">
        <f t="shared" si="144"/>
        <v>Marine Resources Fund-Law Enforcement</v>
      </c>
      <c r="U140" s="60" t="str">
        <f t="shared" si="144"/>
        <v>Other Operating Revenue</v>
      </c>
      <c r="V140" s="60" t="str">
        <f t="shared" si="144"/>
        <v>Other Operating-SC Wildlife Magazine</v>
      </c>
      <c r="W140" s="60" t="str">
        <f t="shared" si="144"/>
        <v>Other Operating-Outreach &amp; Support Services</v>
      </c>
      <c r="X140" s="60" t="str">
        <f t="shared" si="144"/>
        <v>Other Operating-Indirect Cost Recovery</v>
      </c>
      <c r="Y140" s="60" t="str">
        <f t="shared" si="144"/>
        <v xml:space="preserve">Boat Titling/Registration </v>
      </c>
      <c r="Z140" s="60" t="str">
        <f t="shared" si="144"/>
        <v xml:space="preserve">Boat Titling/Registration-Administration </v>
      </c>
      <c r="AA140" s="60" t="str">
        <f t="shared" si="144"/>
        <v>Aerial Photography Program</v>
      </c>
      <c r="AB140" s="60" t="str">
        <f t="shared" si="144"/>
        <v>Donations</v>
      </c>
      <c r="AC140" s="60" t="str">
        <f t="shared" si="144"/>
        <v>County Water Recreation Funds</v>
      </c>
      <c r="AD140" s="60" t="str">
        <f t="shared" si="144"/>
        <v>County Water Recreation Funds-Boating Access/ Engineering</v>
      </c>
      <c r="AE140" s="60" t="str">
        <f t="shared" si="144"/>
        <v>County Water Recreation Funds- County Funds</v>
      </c>
      <c r="AF140" s="60" t="str">
        <f t="shared" si="144"/>
        <v>Wildlife Endowment Fund - Princip</v>
      </c>
      <c r="AG140" s="60" t="str">
        <f t="shared" si="144"/>
        <v>Wildlife Endowment Fund-Income</v>
      </c>
      <c r="AH140" s="60" t="str">
        <f t="shared" ref="AH140:BM140" si="145">AH15</f>
        <v>Fish &amp; Wildlife Protection Fund-Admin</v>
      </c>
      <c r="AI140" s="60" t="str">
        <f t="shared" si="145"/>
        <v>Fish &amp; Wildlife Protection Fund-Indirect Cost Recovery</v>
      </c>
      <c r="AJ140" s="60" t="str">
        <f t="shared" si="145"/>
        <v>Marine Resources Fund</v>
      </c>
      <c r="AK140" s="60" t="str">
        <f t="shared" si="145"/>
        <v>Marine Resources Fund-Admin</v>
      </c>
      <c r="AL140" s="60" t="str">
        <f t="shared" si="145"/>
        <v>Other Operating-Land, Water &amp; Conservation</v>
      </c>
      <c r="AM140" s="60" t="str">
        <f t="shared" si="145"/>
        <v>County Water Recreation Funds-Aquatic Nuisance Plants</v>
      </c>
      <c r="AN140" s="60" t="str">
        <f t="shared" si="145"/>
        <v xml:space="preserve">Boat Titling/Registration-Land, Water &amp; Conservation </v>
      </c>
      <c r="AO140" s="60" t="str">
        <f t="shared" si="145"/>
        <v>Map Sales</v>
      </c>
      <c r="AP140" s="60" t="str">
        <f t="shared" si="145"/>
        <v>Private Coop Water Studies</v>
      </c>
      <c r="AQ140" s="60" t="str">
        <f t="shared" si="145"/>
        <v>Aquatic Plant Management Trust Fund</v>
      </c>
      <c r="AR140" s="60" t="str">
        <f t="shared" si="145"/>
        <v>Heritage Trust Operating-Habitat Protection</v>
      </c>
      <c r="AS140" s="60" t="str">
        <f t="shared" si="145"/>
        <v>Heritage Trust Operating-Cultural Preserves</v>
      </c>
      <c r="AT140" s="60" t="str">
        <f t="shared" si="145"/>
        <v>Heritage Land Trust Fund</v>
      </c>
      <c r="AU140" s="60" t="str">
        <f t="shared" si="145"/>
        <v>Heritage Trust Revenue Fund</v>
      </c>
      <c r="AV140" s="60" t="str">
        <f t="shared" si="145"/>
        <v>Scenic Rivers Trust Fund</v>
      </c>
      <c r="AW140" s="60" t="str">
        <f t="shared" si="145"/>
        <v>Other Operating-Marine Resources</v>
      </c>
      <c r="AX140" s="60" t="str">
        <f t="shared" si="145"/>
        <v>Heritage Trust Operating-Coastal Preserves</v>
      </c>
      <c r="AY140" s="60" t="str">
        <f t="shared" si="145"/>
        <v>Marine Resources Deferred License</v>
      </c>
      <c r="AZ140" s="60" t="str">
        <f t="shared" si="145"/>
        <v>Marine Resources Fund-Recreational Licenses</v>
      </c>
      <c r="BA140" s="60" t="str">
        <f t="shared" si="145"/>
        <v>Marine Resources Fund-Commercial Licenses</v>
      </c>
      <c r="BB140" s="60" t="str">
        <f t="shared" si="145"/>
        <v>Marine Resources Fund-Program Income</v>
      </c>
      <c r="BC140" s="60" t="str">
        <f t="shared" si="145"/>
        <v>Marine Resources Fund-Indirect Cost Recovery</v>
      </c>
      <c r="BD140" s="187" t="str">
        <f t="shared" si="145"/>
        <v>Other Operating- Wildlife &amp; Freshwater Fisheries</v>
      </c>
      <c r="BE140" s="60" t="str">
        <f t="shared" si="145"/>
        <v xml:space="preserve">Other Operating-Yawkey </v>
      </c>
      <c r="BF140" s="60" t="str">
        <f t="shared" si="145"/>
        <v>Other Operating-Pittman Robinson Match (Prov 117.143)</v>
      </c>
      <c r="BG140" s="60" t="str">
        <f t="shared" si="145"/>
        <v>Other Operating-NAWCA Match (Prov 117.144)</v>
      </c>
      <c r="BH140" s="60" t="str">
        <f t="shared" si="145"/>
        <v>Comprehensive Relicensing Agreements</v>
      </c>
      <c r="BI140" s="60" t="str">
        <f t="shared" si="145"/>
        <v>Comprehensive Relicensing Agreement-Catawba Wateree Basin-Duke</v>
      </c>
      <c r="BJ140" s="60" t="str">
        <f t="shared" si="145"/>
        <v>Yawkey Wildlife Operating Fund</v>
      </c>
      <c r="BK140" s="60" t="str">
        <f t="shared" si="145"/>
        <v>Yawkey Wildlife Trust Fund</v>
      </c>
      <c r="BL140" s="60" t="str">
        <f t="shared" si="145"/>
        <v>Nongame Wildlife &amp; Natural Areas Fund</v>
      </c>
      <c r="BM140" s="60" t="str">
        <f t="shared" si="145"/>
        <v>Mitigation Trust Fund</v>
      </c>
      <c r="BN140" s="60" t="str">
        <f t="shared" ref="BN140:CU140" si="146">BN15</f>
        <v>Mitigation Trust Fund-Broad River</v>
      </c>
      <c r="BO140" s="60" t="str">
        <f t="shared" si="146"/>
        <v>Mitigation Trust Fund-Reedy River</v>
      </c>
      <c r="BP140" s="60" t="str">
        <f t="shared" si="146"/>
        <v>Mitigation Trust Fund-Savannah River</v>
      </c>
      <c r="BQ140" s="60" t="str">
        <f t="shared" si="146"/>
        <v>Mitigation Trust Fund-Buzzards Roost</v>
      </c>
      <c r="BR140" s="60" t="str">
        <f t="shared" si="146"/>
        <v>Mitigation Trust Fund-St Stephen's Fish Lift</v>
      </c>
      <c r="BS140" s="60" t="str">
        <f t="shared" si="146"/>
        <v>Mitigation Trust Fund-Star Evviva</v>
      </c>
      <c r="BT140" s="60" t="str">
        <f t="shared" si="146"/>
        <v>Mitigation Trust Fund-US Army Corps of Engineers</v>
      </c>
      <c r="BU140" s="60" t="str">
        <f t="shared" si="146"/>
        <v>Mitigation Trust Fund-12 Mile Creek &amp; Hartwell</v>
      </c>
      <c r="BV140" s="60" t="str">
        <f t="shared" si="146"/>
        <v>Mitigation Trust Fund-SHEP Sturgeon</v>
      </c>
      <c r="BW140" s="60" t="str">
        <f t="shared" si="146"/>
        <v>Heritage Trust Operating-Heritage Preserves</v>
      </c>
      <c r="BX140" s="60" t="str">
        <f t="shared" si="146"/>
        <v>Mitigation Trust Operating Fund</v>
      </c>
      <c r="BY140" s="60" t="str">
        <f t="shared" si="146"/>
        <v>Mitigation Trust Operating Fund-Broad River</v>
      </c>
      <c r="BZ140" s="60" t="str">
        <f t="shared" si="146"/>
        <v>Mitigation Trust Operating Fund-Reedy River</v>
      </c>
      <c r="CA140" s="60" t="str">
        <f t="shared" si="146"/>
        <v>Mitigation Trust Operating Fund-Savannah River</v>
      </c>
      <c r="CB140" s="60" t="str">
        <f t="shared" si="146"/>
        <v>Mitigation Trust Operating Fund-St Stephen's Fish Lift</v>
      </c>
      <c r="CC140" s="60" t="str">
        <f t="shared" si="146"/>
        <v>Mitigation Trust Operating Fund-Star Evviva</v>
      </c>
      <c r="CD140" s="60" t="str">
        <f t="shared" si="146"/>
        <v>Mitigation Trust Operating Fund-US Army Corps of Engineers</v>
      </c>
      <c r="CE140" s="60" t="str">
        <f t="shared" si="146"/>
        <v>Mitigation Trust Operating Fund- 12 Mile Creek &amp; Hartwell</v>
      </c>
      <c r="CF140" s="60" t="str">
        <f t="shared" si="146"/>
        <v>Mitigation Trust Operating Fund- SHEP Sturgeon</v>
      </c>
      <c r="CG140" s="60" t="str">
        <f t="shared" si="146"/>
        <v>Fish &amp; Wildlife Protection Fund-Duck</v>
      </c>
      <c r="CH140" s="60" t="str">
        <f t="shared" si="146"/>
        <v>Fish &amp; Wildlife Protection Fund-Deer</v>
      </c>
      <c r="CI140" s="60" t="str">
        <f t="shared" si="146"/>
        <v>Fish &amp; Wildlife Protection Fund-Timber</v>
      </c>
      <c r="CJ140" s="60" t="str">
        <f t="shared" si="146"/>
        <v>Fish &amp; Wildlife Protection Fund-WMA Lands</v>
      </c>
      <c r="CK140" s="60" t="str">
        <f t="shared" si="146"/>
        <v>Fish &amp; Wildlife Protection Fund-Black Bear</v>
      </c>
      <c r="CL140" s="60" t="str">
        <f t="shared" si="146"/>
        <v>Fish &amp; Wildlife Protection Fund-Alligator</v>
      </c>
      <c r="CM140" s="60" t="str">
        <f t="shared" si="146"/>
        <v>Fish &amp; Wildlife Protection Fund-Grass Carp</v>
      </c>
      <c r="CN140" s="60" t="str">
        <f t="shared" si="146"/>
        <v>Fish &amp; Wildlife Protection Fund-Aquaculture</v>
      </c>
      <c r="CO140" s="60" t="str">
        <f t="shared" si="146"/>
        <v>Fish &amp; Wildlife Protection Fund-Wildlife Permits</v>
      </c>
      <c r="CP140" s="60" t="str">
        <f t="shared" si="146"/>
        <v>Fish &amp; Wildlife Protection Fund-Draw Hunts</v>
      </c>
      <c r="CQ140" s="60" t="str">
        <f t="shared" si="146"/>
        <v>Fish &amp; Wildlife Protection Fund-Coyote</v>
      </c>
      <c r="CR140" s="60" t="str">
        <f t="shared" si="146"/>
        <v>Fish &amp; Wildlife Protection Fund-FW Hatcheries</v>
      </c>
      <c r="CS140" s="60" t="str">
        <f t="shared" si="146"/>
        <v>Fish &amp; Wildlife Protection Fund-Commercial Fur</v>
      </c>
      <c r="CT140" s="60" t="str">
        <f t="shared" si="146"/>
        <v>Fish &amp; Wildlife Protection Fund-Shooting Preserves</v>
      </c>
      <c r="CU140" s="344" t="str">
        <f t="shared" si="146"/>
        <v>Jocassee Gorges Trust Fund</v>
      </c>
      <c r="CV140" s="189"/>
    </row>
    <row r="141" spans="1:100" ht="13.5" thickBot="1" x14ac:dyDescent="0.25">
      <c r="A141" s="3" t="s">
        <v>134</v>
      </c>
      <c r="B141" s="40" t="s">
        <v>1067</v>
      </c>
      <c r="C141" s="54">
        <f>SUM(D141:DX141)</f>
        <v>93753883.409999982</v>
      </c>
      <c r="D141" s="41">
        <v>380062.98</v>
      </c>
      <c r="E141" s="41">
        <v>8470867.5</v>
      </c>
      <c r="F141" s="41">
        <v>316267.2</v>
      </c>
      <c r="G141" s="41">
        <v>-6017780.1600000001</v>
      </c>
      <c r="H141" s="41">
        <v>-154502.82999999999</v>
      </c>
      <c r="I141" s="41">
        <v>3332845.57</v>
      </c>
      <c r="J141" s="41">
        <v>1326110.6200000001</v>
      </c>
      <c r="K141" s="41">
        <v>1879175.48</v>
      </c>
      <c r="L141" s="41">
        <v>8204.8700000000008</v>
      </c>
      <c r="M141" s="41">
        <v>3344655.81</v>
      </c>
      <c r="N141" s="41">
        <v>1454679.66</v>
      </c>
      <c r="O141" s="41">
        <v>615415.27</v>
      </c>
      <c r="P141" s="41">
        <v>430541.79</v>
      </c>
      <c r="Q141" s="41">
        <v>630771.56999999995</v>
      </c>
      <c r="R141" s="41">
        <v>85010.559999999998</v>
      </c>
      <c r="S141" s="41">
        <v>365713.45</v>
      </c>
      <c r="T141" s="41">
        <v>753514.88</v>
      </c>
      <c r="U141" s="41">
        <v>476063.93</v>
      </c>
      <c r="V141" s="41">
        <v>439114.81</v>
      </c>
      <c r="W141" s="41">
        <v>389005.55</v>
      </c>
      <c r="X141" s="41">
        <v>46382.47</v>
      </c>
      <c r="Y141" s="41">
        <v>14011.64</v>
      </c>
      <c r="Z141" s="41">
        <v>338528.06</v>
      </c>
      <c r="AA141" s="41">
        <v>273173.19</v>
      </c>
      <c r="AB141" s="41">
        <v>5278.94</v>
      </c>
      <c r="AC141" s="41">
        <v>3737413.24</v>
      </c>
      <c r="AD141" s="41">
        <v>102962.98</v>
      </c>
      <c r="AE141" s="41">
        <v>14263956.050000001</v>
      </c>
      <c r="AF141" s="41">
        <v>5287826.63</v>
      </c>
      <c r="AG141" s="41">
        <v>440343.8</v>
      </c>
      <c r="AH141" s="41">
        <v>66542.600000000006</v>
      </c>
      <c r="AI141" s="41">
        <v>566097.07999999996</v>
      </c>
      <c r="AJ141" s="41">
        <v>56101.15</v>
      </c>
      <c r="AK141" s="41">
        <v>9716.0400000000009</v>
      </c>
      <c r="AL141" s="41">
        <v>204155.31</v>
      </c>
      <c r="AM141" s="41">
        <v>442720.43</v>
      </c>
      <c r="AN141" s="41">
        <v>117707.29</v>
      </c>
      <c r="AO141" s="41">
        <v>12376.35</v>
      </c>
      <c r="AP141" s="41">
        <v>0</v>
      </c>
      <c r="AQ141" s="41">
        <v>427400.27</v>
      </c>
      <c r="AR141" s="41">
        <v>521558.65</v>
      </c>
      <c r="AS141" s="41">
        <v>1236378.18</v>
      </c>
      <c r="AT141" s="41">
        <v>5091750.96</v>
      </c>
      <c r="AU141" s="41">
        <v>0</v>
      </c>
      <c r="AV141" s="41">
        <v>20411.509999999998</v>
      </c>
      <c r="AW141" s="41">
        <v>594603.91</v>
      </c>
      <c r="AX141" s="41">
        <v>80296.639999999999</v>
      </c>
      <c r="AY141" s="41">
        <v>776884.13</v>
      </c>
      <c r="AZ141" s="41">
        <v>1254673.3600000001</v>
      </c>
      <c r="BA141" s="41">
        <v>91944.66</v>
      </c>
      <c r="BB141" s="41">
        <v>1033656.2</v>
      </c>
      <c r="BC141" s="41">
        <v>282723.71999999997</v>
      </c>
      <c r="BD141" s="354">
        <v>1990597.18</v>
      </c>
      <c r="BE141" s="41">
        <v>0</v>
      </c>
      <c r="BF141" s="41">
        <v>1196439.71</v>
      </c>
      <c r="BG141" s="41">
        <v>915683</v>
      </c>
      <c r="BH141" s="41">
        <v>744969.92</v>
      </c>
      <c r="BI141" s="41">
        <v>984800</v>
      </c>
      <c r="BJ141" s="41">
        <v>94204.39</v>
      </c>
      <c r="BK141" s="41">
        <v>139812.57999999999</v>
      </c>
      <c r="BL141" s="41">
        <v>133493.87</v>
      </c>
      <c r="BM141" s="41">
        <v>3253601.97</v>
      </c>
      <c r="BN141" s="41">
        <v>949110.5</v>
      </c>
      <c r="BO141" s="41">
        <v>206818.68</v>
      </c>
      <c r="BP141" s="41">
        <v>20825.82</v>
      </c>
      <c r="BQ141" s="41">
        <v>521442.35</v>
      </c>
      <c r="BR141" s="41">
        <v>4237401.17</v>
      </c>
      <c r="BS141" s="41">
        <v>195516.91</v>
      </c>
      <c r="BT141" s="41">
        <v>5451388.1600000001</v>
      </c>
      <c r="BU141" s="41">
        <v>3850742.5</v>
      </c>
      <c r="BV141" s="41">
        <v>1808155.45</v>
      </c>
      <c r="BW141" s="41">
        <v>2464118.4900000002</v>
      </c>
      <c r="BX141" s="41">
        <v>199983.75</v>
      </c>
      <c r="BY141" s="41">
        <v>22573.42</v>
      </c>
      <c r="BZ141" s="41">
        <v>206818.68</v>
      </c>
      <c r="CA141" s="41">
        <v>79743.58</v>
      </c>
      <c r="CB141" s="41">
        <v>50063.83</v>
      </c>
      <c r="CC141" s="41">
        <v>0</v>
      </c>
      <c r="CD141" s="41">
        <v>33087.120000000003</v>
      </c>
      <c r="CE141" s="41">
        <v>128789</v>
      </c>
      <c r="CF141" s="41">
        <v>116331.98</v>
      </c>
      <c r="CG141" s="41">
        <v>320550.64</v>
      </c>
      <c r="CH141" s="41">
        <v>2008343.02</v>
      </c>
      <c r="CI141" s="41">
        <v>3311594.36</v>
      </c>
      <c r="CJ141" s="41">
        <v>292042.96999999997</v>
      </c>
      <c r="CK141" s="41">
        <v>65927.759999999995</v>
      </c>
      <c r="CL141" s="41">
        <v>520360.05</v>
      </c>
      <c r="CM141" s="41">
        <v>345135.87</v>
      </c>
      <c r="CN141" s="41">
        <v>10052.02</v>
      </c>
      <c r="CO141" s="41">
        <v>11485.87</v>
      </c>
      <c r="CP141" s="41">
        <v>378369.82</v>
      </c>
      <c r="CQ141" s="41">
        <v>0.13</v>
      </c>
      <c r="CR141" s="41">
        <v>214246.48</v>
      </c>
      <c r="CS141" s="41">
        <v>105051.91</v>
      </c>
      <c r="CT141" s="41">
        <v>223456.75</v>
      </c>
      <c r="CU141" s="345">
        <v>27437.8</v>
      </c>
      <c r="CV141" s="189"/>
    </row>
    <row r="142" spans="1:100" s="4" customFormat="1" x14ac:dyDescent="0.2">
      <c r="A142" s="3"/>
      <c r="B142" s="6"/>
      <c r="C142" s="71"/>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190"/>
    </row>
    <row r="143" spans="1:100" ht="42.75" thickBot="1" x14ac:dyDescent="0.25">
      <c r="A143" s="340" t="s">
        <v>30</v>
      </c>
      <c r="B143" s="339" t="s">
        <v>44</v>
      </c>
      <c r="C143" s="82"/>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189"/>
    </row>
    <row r="144" spans="1:100" ht="32.25" customHeight="1" x14ac:dyDescent="0.2">
      <c r="A144" s="23"/>
      <c r="B144" s="15" t="str">
        <f>B3</f>
        <v>Revenue Sources (any funds coming into the agency)</v>
      </c>
      <c r="C144" s="161" t="s">
        <v>1070</v>
      </c>
      <c r="D144" s="338" t="s">
        <v>1071</v>
      </c>
      <c r="E144" s="346"/>
      <c r="F144" s="346"/>
      <c r="G144" s="346"/>
      <c r="H144" s="346"/>
      <c r="I144" s="346"/>
      <c r="J144" s="346"/>
      <c r="K144" s="346"/>
      <c r="L144" s="346"/>
      <c r="M144" s="346"/>
      <c r="N144" s="346"/>
      <c r="O144" s="346"/>
      <c r="P144" s="346"/>
      <c r="Q144" s="346"/>
      <c r="R144" s="346"/>
      <c r="S144" s="346"/>
      <c r="T144" s="346"/>
      <c r="U144" s="346"/>
      <c r="V144" s="346"/>
      <c r="W144" s="346"/>
      <c r="X144" s="346"/>
      <c r="Y144" s="346"/>
      <c r="Z144" s="346"/>
      <c r="AA144" s="346"/>
      <c r="AB144" s="346"/>
      <c r="AC144" s="346"/>
      <c r="AD144" s="346"/>
      <c r="AE144" s="346"/>
      <c r="AF144" s="346"/>
      <c r="AG144" s="346"/>
      <c r="AH144" s="346"/>
      <c r="AI144" s="346"/>
      <c r="AJ144" s="346"/>
      <c r="AK144" s="346"/>
      <c r="AL144" s="346"/>
      <c r="AM144" s="346"/>
      <c r="AN144" s="346"/>
      <c r="AO144" s="346"/>
      <c r="AP144" s="346"/>
      <c r="AQ144" s="346"/>
      <c r="AR144" s="346"/>
      <c r="AS144" s="346"/>
      <c r="AT144" s="346"/>
      <c r="AU144" s="346"/>
      <c r="AV144" s="346"/>
      <c r="AW144" s="346"/>
      <c r="AX144" s="346"/>
      <c r="AY144" s="346"/>
      <c r="AZ144" s="346"/>
      <c r="BA144" s="346"/>
      <c r="BB144" s="346"/>
      <c r="BC144" s="346"/>
      <c r="BD144" s="347"/>
      <c r="BE144" s="346"/>
      <c r="BF144" s="346"/>
      <c r="BG144" s="346"/>
      <c r="BH144" s="346"/>
      <c r="BI144" s="346"/>
      <c r="BJ144" s="346"/>
      <c r="BK144" s="346"/>
      <c r="BL144" s="346"/>
      <c r="BM144" s="346"/>
      <c r="BN144" s="346"/>
      <c r="BO144" s="346"/>
      <c r="BP144" s="346"/>
      <c r="BQ144" s="346"/>
      <c r="BR144" s="346"/>
      <c r="BS144" s="346"/>
      <c r="BT144" s="346"/>
      <c r="BU144" s="346"/>
      <c r="BV144" s="346"/>
      <c r="BW144" s="346"/>
      <c r="BX144" s="346"/>
      <c r="BY144" s="346"/>
      <c r="BZ144" s="346"/>
      <c r="CA144" s="346"/>
      <c r="CB144" s="346"/>
      <c r="CC144" s="346"/>
      <c r="CD144" s="346"/>
      <c r="CE144" s="346"/>
      <c r="CF144" s="346"/>
      <c r="CG144" s="346"/>
      <c r="CH144" s="346"/>
      <c r="CI144" s="346"/>
      <c r="CJ144" s="346"/>
      <c r="CK144" s="346"/>
      <c r="CL144" s="346"/>
      <c r="CM144" s="346"/>
      <c r="CN144" s="346"/>
      <c r="CO144" s="346"/>
      <c r="CP144" s="346"/>
      <c r="CQ144" s="346"/>
      <c r="CR144" s="346"/>
      <c r="CS144" s="346"/>
      <c r="CT144" s="346"/>
      <c r="CU144" s="348"/>
      <c r="CV144" s="189"/>
    </row>
    <row r="145" spans="1:100" ht="89.25" x14ac:dyDescent="0.2">
      <c r="A145" s="3" t="s">
        <v>58</v>
      </c>
      <c r="B145" s="25" t="str">
        <f>B4</f>
        <v>Revenue Source</v>
      </c>
      <c r="C145" s="70"/>
      <c r="D145" s="16" t="str">
        <f t="shared" ref="D145:AH145" si="147">D4</f>
        <v xml:space="preserve">General Fund </v>
      </c>
      <c r="E145" s="16" t="str">
        <f t="shared" si="147"/>
        <v xml:space="preserve">General Fund </v>
      </c>
      <c r="F145" s="16" t="str">
        <f t="shared" si="147"/>
        <v>Indirect Cost</v>
      </c>
      <c r="G145" s="16" t="str">
        <f t="shared" si="147"/>
        <v>Federal Awards</v>
      </c>
      <c r="H145" s="16" t="str">
        <f t="shared" si="147"/>
        <v>Federal Awards, construction/land acquisition</v>
      </c>
      <c r="I145" s="16" t="str">
        <f t="shared" si="147"/>
        <v>Non-recurring General Funds</v>
      </c>
      <c r="J145" s="16" t="str">
        <f t="shared" si="147"/>
        <v>Agency Funds</v>
      </c>
      <c r="K145" s="16" t="str">
        <f t="shared" si="147"/>
        <v>3 Year Hunting &amp; Fishing Licenses</v>
      </c>
      <c r="L145" s="16" t="str">
        <f t="shared" si="147"/>
        <v>Gasoline Tax Allocation</v>
      </c>
      <c r="M145" s="16" t="str">
        <f t="shared" si="147"/>
        <v>Portion of Annual Freshwater Fishing license</v>
      </c>
      <c r="N145" s="16" t="str">
        <f t="shared" si="147"/>
        <v>Hunting &amp; Fishing licenses</v>
      </c>
      <c r="O145" s="16" t="str">
        <f t="shared" si="147"/>
        <v>Operation Game Thief/Property Watch, Court Fees, Litter Fines</v>
      </c>
      <c r="P145" s="16" t="str">
        <f t="shared" si="147"/>
        <v>Cash Transfer</v>
      </c>
      <c r="Q145" s="16" t="str">
        <f t="shared" si="147"/>
        <v>Boating Fines; Boat Titling &amp; Registration Fees</v>
      </c>
      <c r="R145" s="16" t="str">
        <f t="shared" si="147"/>
        <v>Cash Transfers</v>
      </c>
      <c r="S145" s="16" t="str">
        <f t="shared" si="147"/>
        <v>Antlerless Deer Tags</v>
      </c>
      <c r="T145" s="16" t="str">
        <f t="shared" si="147"/>
        <v>Shrimp Baiting and Saltwater Licenses</v>
      </c>
      <c r="U145" s="16" t="str">
        <f t="shared" si="147"/>
        <v>Hunting &amp; Fishing Fines</v>
      </c>
      <c r="V145" s="16" t="str">
        <f t="shared" si="147"/>
        <v>Magazine Subscriptions</v>
      </c>
      <c r="W145" s="16" t="str">
        <f t="shared" si="147"/>
        <v>State GIS  Coord, Graphics Services Collector Duck Stamp</v>
      </c>
      <c r="X145" s="16" t="str">
        <f t="shared" si="147"/>
        <v>Indirect Cost Recovery non PR/DJ Grants</v>
      </c>
      <c r="Y145" s="16" t="str">
        <f t="shared" si="147"/>
        <v>Overpayments</v>
      </c>
      <c r="Z145" s="16" t="str">
        <f t="shared" si="147"/>
        <v>Boat Titling &amp; Registration Fees</v>
      </c>
      <c r="AA145" s="16" t="str">
        <f t="shared" si="147"/>
        <v>Operating Contributions</v>
      </c>
      <c r="AB145" s="16" t="str">
        <f t="shared" si="147"/>
        <v>Unrestricted Donations</v>
      </c>
      <c r="AC145" s="16" t="str">
        <f t="shared" si="147"/>
        <v>Gasoline Tax Allocation(0.13)</v>
      </c>
      <c r="AD145" s="16" t="str">
        <f t="shared" si="147"/>
        <v>Cash Transfer</v>
      </c>
      <c r="AE145" s="16" t="str">
        <f t="shared" si="147"/>
        <v>Cash Transfer</v>
      </c>
      <c r="AF145" s="16" t="str">
        <f t="shared" si="147"/>
        <v>Lifetime License Fees</v>
      </c>
      <c r="AG145" s="16" t="str">
        <f t="shared" si="147"/>
        <v>Investment income for fund 46070000</v>
      </c>
      <c r="AH145" s="16" t="str">
        <f t="shared" si="147"/>
        <v>Vendor Fee for  hunting/fishing licenses</v>
      </c>
      <c r="AI145" s="16" t="str">
        <f t="shared" ref="AI145:BN145" si="148">AI4</f>
        <v>Indirect Cost Recovery-PR/DJ Grants</v>
      </c>
      <c r="AJ145" s="16" t="str">
        <f t="shared" si="148"/>
        <v>Investment Income 3 Year SW Licenses</v>
      </c>
      <c r="AK145" s="16" t="str">
        <f t="shared" si="148"/>
        <v>Vendor Fee for   saltwater fishing licenses</v>
      </c>
      <c r="AL145" s="16" t="str">
        <f t="shared" si="148"/>
        <v>Flood Training Registrations, weather certifications, printed products</v>
      </c>
      <c r="AM145" s="16" t="str">
        <f t="shared" si="148"/>
        <v>Cash Transfer</v>
      </c>
      <c r="AN145" s="16" t="str">
        <f t="shared" si="148"/>
        <v>Cash Transfers</v>
      </c>
      <c r="AO145" s="16" t="str">
        <f t="shared" si="148"/>
        <v>Map data, Core Sample logs, mineral rock kits and GIS publications</v>
      </c>
      <c r="AP145" s="16" t="str">
        <f t="shared" si="148"/>
        <v>Revenue passed to USGS for surface water, ground water, water quality station</v>
      </c>
      <c r="AQ145" s="16" t="str">
        <f t="shared" si="148"/>
        <v>Reimbursements for aquatic weed mgmt</v>
      </c>
      <c r="AR145" s="16" t="str">
        <f t="shared" si="148"/>
        <v>Heritage Trust Fund-Document Stamp</v>
      </c>
      <c r="AS145" s="16" t="str">
        <f t="shared" si="148"/>
        <v>Heritage Trust Fund-Document Stamp</v>
      </c>
      <c r="AT145" s="16" t="str">
        <f t="shared" si="148"/>
        <v>Document Stamp Tax portion</v>
      </c>
      <c r="AU145" s="16" t="str">
        <f t="shared" si="148"/>
        <v>Document Stamp Tax portion-Bond Repayment</v>
      </c>
      <c r="AV145" s="16" t="str">
        <f t="shared" si="148"/>
        <v>Donations</v>
      </c>
      <c r="AW145" s="16" t="str">
        <f t="shared" si="148"/>
        <v>CCEHBR Bldg Rent,  Research contracts, Vessel and Motor Pool accts,  Saltwater Pier Tax, Fishing License plate</v>
      </c>
      <c r="AX145" s="16" t="str">
        <f t="shared" si="148"/>
        <v>Heritage Trust Fund-Document Stamp</v>
      </c>
      <c r="AY145" s="16" t="str">
        <f t="shared" si="148"/>
        <v>3 Year Saltwater Fishing Licenses</v>
      </c>
      <c r="AZ145" s="16" t="str">
        <f t="shared" si="148"/>
        <v>Saltwater Recreational Fishing Licenses</v>
      </c>
      <c r="BA145" s="16" t="str">
        <f t="shared" si="148"/>
        <v>Commercial Saltwater licenses; Culture &amp; Mariculture Permit Fees</v>
      </c>
      <c r="BB145" s="16" t="str">
        <f t="shared" si="148"/>
        <v>Morgan Island Rent</v>
      </c>
      <c r="BC145" s="16" t="str">
        <f t="shared" si="148"/>
        <v>Indirect Cost Recovery</v>
      </c>
      <c r="BD145" s="177" t="str">
        <f t="shared" si="148"/>
        <v>Santee Accord Project, US Army COELake Russell Trout, Donations/Contributions</v>
      </c>
      <c r="BE145" s="16" t="str">
        <f t="shared" si="148"/>
        <v>Operating Contributions-Yawkey Foundation</v>
      </c>
      <c r="BF145" s="16" t="str">
        <f t="shared" si="148"/>
        <v>Cash Transfer from SC Conservation Bank</v>
      </c>
      <c r="BG145" s="16" t="str">
        <f t="shared" si="148"/>
        <v>Cash Transfer from SC Conservation Bank</v>
      </c>
      <c r="BH145" s="16" t="str">
        <f t="shared" si="148"/>
        <v>Hydroelectric Relicensing Agreement Settlement</v>
      </c>
      <c r="BI145" s="16" t="str">
        <f t="shared" si="148"/>
        <v>Hydroelectric Relicensing Agreement Settlement-Duke</v>
      </c>
      <c r="BJ145" s="16" t="str">
        <f t="shared" si="148"/>
        <v>Cash from Trust Fund 41257000</v>
      </c>
      <c r="BK145" s="16" t="str">
        <f t="shared" si="148"/>
        <v>Operating Contributions-Yawkey Foundation, Timber Sales</v>
      </c>
      <c r="BL145" s="16" t="str">
        <f t="shared" si="148"/>
        <v>Tax Check Off; License Plate</v>
      </c>
      <c r="BM145" s="16" t="str">
        <f t="shared" si="148"/>
        <v>Bannister Tract Timber, Cooks Mountain, Carolina Heelsplitter</v>
      </c>
      <c r="BN145" s="16" t="str">
        <f t="shared" si="148"/>
        <v>Duke Energy - annual</v>
      </c>
      <c r="BO145" s="16" t="str">
        <f t="shared" ref="BO145:CU145" si="149">BO4</f>
        <v>(long term  project, cash carryforward)</v>
      </c>
      <c r="BP145" s="16" t="str">
        <f t="shared" si="149"/>
        <v>SCANA - annual</v>
      </c>
      <c r="BQ145" s="16" t="str">
        <f t="shared" si="149"/>
        <v>Greenwood County Utility-annual</v>
      </c>
      <c r="BR145" s="16" t="str">
        <f t="shared" si="149"/>
        <v>(long term  project, cash carryforward)</v>
      </c>
      <c r="BS145" s="16" t="str">
        <f t="shared" si="149"/>
        <v>(long term  project, cash carryforward)</v>
      </c>
      <c r="BT145" s="16" t="str">
        <f t="shared" si="149"/>
        <v>(long term  project, cash carryforward)</v>
      </c>
      <c r="BU145" s="16" t="str">
        <f t="shared" si="149"/>
        <v>(long term  project, cash carryforward)</v>
      </c>
      <c r="BV145" s="16" t="str">
        <f t="shared" si="149"/>
        <v xml:space="preserve">Savannah Harbor Expansion Settlement </v>
      </c>
      <c r="BW145" s="16" t="str">
        <f t="shared" si="149"/>
        <v>Heritage Trust Fund-Document Stamp</v>
      </c>
      <c r="BX145" s="16" t="str">
        <f t="shared" si="149"/>
        <v>Cash Transfer from 43950000</v>
      </c>
      <c r="BY145" s="16" t="str">
        <f t="shared" si="149"/>
        <v>Cash Transfer from 43950001</v>
      </c>
      <c r="BZ145" s="16" t="str">
        <f t="shared" si="149"/>
        <v>Cash Transfer from 43950002</v>
      </c>
      <c r="CA145" s="16" t="str">
        <f t="shared" si="149"/>
        <v>Cash Transfer from 43950003</v>
      </c>
      <c r="CB145" s="16" t="str">
        <f t="shared" si="149"/>
        <v>Cash Transfer from 43950005</v>
      </c>
      <c r="CC145" s="16" t="str">
        <f t="shared" si="149"/>
        <v>Cash Transfer from 43950006</v>
      </c>
      <c r="CD145" s="16" t="str">
        <f t="shared" si="149"/>
        <v>Cash Transfer from 43950007</v>
      </c>
      <c r="CE145" s="16" t="str">
        <f t="shared" si="149"/>
        <v>Cash Transfer from 43957008</v>
      </c>
      <c r="CF145" s="16" t="str">
        <f t="shared" si="149"/>
        <v>Cash Transfer from 43950009</v>
      </c>
      <c r="CG145" s="16" t="str">
        <f t="shared" si="149"/>
        <v>Migratory Waterfowl Permit Fees</v>
      </c>
      <c r="CH145" s="16" t="str">
        <f t="shared" si="149"/>
        <v>Individual and Deer Quality Program Tag Fees</v>
      </c>
      <c r="CI145" s="16" t="str">
        <f t="shared" si="149"/>
        <v>Managed Lands  Timber Harvests</v>
      </c>
      <c r="CJ145" s="16" t="str">
        <f t="shared" si="149"/>
        <v>WMA Permit Fees</v>
      </c>
      <c r="CK145" s="16" t="str">
        <f t="shared" si="149"/>
        <v>Black Bear Public Hunt and Tag Fees</v>
      </c>
      <c r="CL145" s="16" t="str">
        <f t="shared" si="149"/>
        <v>Alligator Public Hunt, WMA Hunt and Tag Fees</v>
      </c>
      <c r="CM145" s="16" t="str">
        <f t="shared" si="149"/>
        <v>Grass Carp Certification Fees</v>
      </c>
      <c r="CN145" s="16" t="str">
        <f t="shared" si="149"/>
        <v>Aquaculture Permit Fees</v>
      </c>
      <c r="CO145" s="16" t="str">
        <f t="shared" si="149"/>
        <v>Miscellaneous Wildlife Permit Fees</v>
      </c>
      <c r="CP145" s="16" t="str">
        <f t="shared" si="149"/>
        <v>Public Hunt Application Fees</v>
      </c>
      <c r="CQ145" s="16" t="str">
        <f t="shared" si="149"/>
        <v>Restricted Deer Tag Fee - designated</v>
      </c>
      <c r="CR145" s="16" t="str">
        <f t="shared" si="149"/>
        <v>Annual Freshwater Nonresident License portion</v>
      </c>
      <c r="CS145" s="16" t="str">
        <f t="shared" si="149"/>
        <v>Fur Bearer Licenses and Permits</v>
      </c>
      <c r="CT145" s="16" t="str">
        <f t="shared" si="149"/>
        <v>Shooting Preserve Application Fee</v>
      </c>
      <c r="CU145" s="391" t="str">
        <f t="shared" si="149"/>
        <v>Donations, Timber Harvest</v>
      </c>
      <c r="CV145" s="189"/>
    </row>
    <row r="146" spans="1:100" x14ac:dyDescent="0.2">
      <c r="A146" s="3" t="s">
        <v>59</v>
      </c>
      <c r="B146" s="25" t="str">
        <f>B5</f>
        <v xml:space="preserve">Recurring or one-time? </v>
      </c>
      <c r="C146" s="70"/>
      <c r="D146" s="59" t="str">
        <f t="shared" ref="D146:AH146" si="150">D5</f>
        <v>Recurring</v>
      </c>
      <c r="E146" s="59" t="str">
        <f t="shared" si="150"/>
        <v>One-Time</v>
      </c>
      <c r="F146" s="59" t="str">
        <f t="shared" si="150"/>
        <v>Recurring</v>
      </c>
      <c r="G146" s="59" t="str">
        <f t="shared" si="150"/>
        <v>Recurring</v>
      </c>
      <c r="H146" s="59" t="str">
        <f t="shared" si="150"/>
        <v>One-Time</v>
      </c>
      <c r="I146" s="59" t="str">
        <f t="shared" si="150"/>
        <v>One-time</v>
      </c>
      <c r="J146" s="59" t="str">
        <f t="shared" si="150"/>
        <v>One-Time</v>
      </c>
      <c r="K146" s="59" t="str">
        <f t="shared" si="150"/>
        <v>Recurring</v>
      </c>
      <c r="L146" s="59" t="str">
        <f t="shared" si="150"/>
        <v>Recurring</v>
      </c>
      <c r="M146" s="59" t="str">
        <f t="shared" si="150"/>
        <v>Recurring</v>
      </c>
      <c r="N146" s="59" t="str">
        <f t="shared" si="150"/>
        <v>Recurring</v>
      </c>
      <c r="O146" s="59" t="str">
        <f t="shared" si="150"/>
        <v>Recurring</v>
      </c>
      <c r="P146" s="59" t="str">
        <f t="shared" si="150"/>
        <v>Recurring</v>
      </c>
      <c r="Q146" s="59" t="str">
        <f t="shared" si="150"/>
        <v>Recurring</v>
      </c>
      <c r="R146" s="59" t="str">
        <f t="shared" si="150"/>
        <v>One-Time</v>
      </c>
      <c r="S146" s="59" t="str">
        <f t="shared" si="150"/>
        <v>Recurring</v>
      </c>
      <c r="T146" s="59" t="str">
        <f t="shared" si="150"/>
        <v>Recurring</v>
      </c>
      <c r="U146" s="59" t="str">
        <f t="shared" si="150"/>
        <v>Recurring</v>
      </c>
      <c r="V146" s="59" t="str">
        <f t="shared" si="150"/>
        <v>Recurring</v>
      </c>
      <c r="W146" s="59" t="str">
        <f t="shared" si="150"/>
        <v>Recurring</v>
      </c>
      <c r="X146" s="59" t="str">
        <f t="shared" si="150"/>
        <v>Recurring</v>
      </c>
      <c r="Y146" s="59" t="str">
        <f t="shared" si="150"/>
        <v>Recurring</v>
      </c>
      <c r="Z146" s="59" t="str">
        <f t="shared" si="150"/>
        <v>Recurring</v>
      </c>
      <c r="AA146" s="59" t="str">
        <f t="shared" si="150"/>
        <v>Recurring</v>
      </c>
      <c r="AB146" s="59" t="str">
        <f t="shared" si="150"/>
        <v>Recurring</v>
      </c>
      <c r="AC146" s="59" t="str">
        <f t="shared" si="150"/>
        <v>Recurring</v>
      </c>
      <c r="AD146" s="59" t="str">
        <f t="shared" si="150"/>
        <v>Recurring</v>
      </c>
      <c r="AE146" s="59" t="str">
        <f t="shared" si="150"/>
        <v>Recurring</v>
      </c>
      <c r="AF146" s="59" t="str">
        <f t="shared" si="150"/>
        <v>Recurring</v>
      </c>
      <c r="AG146" s="59" t="str">
        <f t="shared" si="150"/>
        <v>Recurring</v>
      </c>
      <c r="AH146" s="59" t="str">
        <f t="shared" si="150"/>
        <v>Recurring</v>
      </c>
      <c r="AI146" s="59" t="str">
        <f t="shared" ref="AI146:BN146" si="151">AI5</f>
        <v>Recurring</v>
      </c>
      <c r="AJ146" s="59" t="str">
        <f t="shared" si="151"/>
        <v>Recurring</v>
      </c>
      <c r="AK146" s="59" t="str">
        <f t="shared" si="151"/>
        <v>Recurring</v>
      </c>
      <c r="AL146" s="59" t="str">
        <f t="shared" si="151"/>
        <v>Recurring</v>
      </c>
      <c r="AM146" s="59" t="str">
        <f t="shared" si="151"/>
        <v>Recurring</v>
      </c>
      <c r="AN146" s="59" t="str">
        <f t="shared" si="151"/>
        <v>Recurring</v>
      </c>
      <c r="AO146" s="59" t="str">
        <f t="shared" si="151"/>
        <v>Recurring</v>
      </c>
      <c r="AP146" s="59" t="str">
        <f t="shared" si="151"/>
        <v>Recurring</v>
      </c>
      <c r="AQ146" s="59" t="str">
        <f t="shared" si="151"/>
        <v>Recurring</v>
      </c>
      <c r="AR146" s="59" t="str">
        <f t="shared" si="151"/>
        <v>Recurring</v>
      </c>
      <c r="AS146" s="59" t="str">
        <f t="shared" si="151"/>
        <v>Recurring</v>
      </c>
      <c r="AT146" s="59" t="str">
        <f t="shared" si="151"/>
        <v>Recurring</v>
      </c>
      <c r="AU146" s="59" t="str">
        <f t="shared" si="151"/>
        <v>Recurring</v>
      </c>
      <c r="AV146" s="59" t="str">
        <f t="shared" si="151"/>
        <v>Recurring</v>
      </c>
      <c r="AW146" s="59" t="str">
        <f t="shared" si="151"/>
        <v>Recurring</v>
      </c>
      <c r="AX146" s="59" t="str">
        <f t="shared" si="151"/>
        <v>Recurring</v>
      </c>
      <c r="AY146" s="59" t="str">
        <f t="shared" si="151"/>
        <v>Recurring</v>
      </c>
      <c r="AZ146" s="59" t="str">
        <f t="shared" si="151"/>
        <v>Recurring</v>
      </c>
      <c r="BA146" s="59" t="str">
        <f t="shared" si="151"/>
        <v>Recurring</v>
      </c>
      <c r="BB146" s="59" t="str">
        <f t="shared" si="151"/>
        <v>Recurring</v>
      </c>
      <c r="BC146" s="59" t="str">
        <f t="shared" si="151"/>
        <v>Recurring</v>
      </c>
      <c r="BD146" s="184" t="str">
        <f t="shared" si="151"/>
        <v>Recurring</v>
      </c>
      <c r="BE146" s="59" t="str">
        <f t="shared" si="151"/>
        <v>Recurring</v>
      </c>
      <c r="BF146" s="59" t="str">
        <f t="shared" si="151"/>
        <v>Recurring</v>
      </c>
      <c r="BG146" s="59" t="str">
        <f t="shared" si="151"/>
        <v>Recurring</v>
      </c>
      <c r="BH146" s="59" t="str">
        <f t="shared" si="151"/>
        <v>One-time</v>
      </c>
      <c r="BI146" s="59" t="str">
        <f t="shared" si="151"/>
        <v>One-time</v>
      </c>
      <c r="BJ146" s="59" t="str">
        <f t="shared" si="151"/>
        <v>Recurring</v>
      </c>
      <c r="BK146" s="59" t="str">
        <f t="shared" si="151"/>
        <v>Recurring</v>
      </c>
      <c r="BL146" s="59" t="str">
        <f t="shared" si="151"/>
        <v>Recurring</v>
      </c>
      <c r="BM146" s="59" t="str">
        <f t="shared" si="151"/>
        <v>One-time</v>
      </c>
      <c r="BN146" s="59" t="str">
        <f t="shared" si="151"/>
        <v>One-time</v>
      </c>
      <c r="BO146" s="59" t="str">
        <f t="shared" ref="BO146:CU146" si="152">BO5</f>
        <v>One-time</v>
      </c>
      <c r="BP146" s="59" t="str">
        <f t="shared" si="152"/>
        <v>One-time</v>
      </c>
      <c r="BQ146" s="59" t="str">
        <f t="shared" si="152"/>
        <v>One-time</v>
      </c>
      <c r="BR146" s="59" t="str">
        <f t="shared" si="152"/>
        <v>One-time</v>
      </c>
      <c r="BS146" s="59" t="str">
        <f t="shared" si="152"/>
        <v>One-time</v>
      </c>
      <c r="BT146" s="59" t="str">
        <f t="shared" si="152"/>
        <v>One-time</v>
      </c>
      <c r="BU146" s="59" t="str">
        <f t="shared" si="152"/>
        <v>One-time</v>
      </c>
      <c r="BV146" s="59" t="str">
        <f t="shared" si="152"/>
        <v>One-time</v>
      </c>
      <c r="BW146" s="59" t="str">
        <f t="shared" si="152"/>
        <v>Recurring</v>
      </c>
      <c r="BX146" s="59" t="str">
        <f t="shared" si="152"/>
        <v>Recurring</v>
      </c>
      <c r="BY146" s="59" t="str">
        <f t="shared" si="152"/>
        <v>Recurring</v>
      </c>
      <c r="BZ146" s="59" t="str">
        <f t="shared" si="152"/>
        <v>Recurring</v>
      </c>
      <c r="CA146" s="59" t="str">
        <f t="shared" si="152"/>
        <v>Recurring</v>
      </c>
      <c r="CB146" s="59" t="str">
        <f t="shared" si="152"/>
        <v>Recurring</v>
      </c>
      <c r="CC146" s="59" t="str">
        <f t="shared" si="152"/>
        <v>Recurring</v>
      </c>
      <c r="CD146" s="59" t="str">
        <f t="shared" si="152"/>
        <v>Recurring</v>
      </c>
      <c r="CE146" s="59" t="str">
        <f t="shared" si="152"/>
        <v>Recurring</v>
      </c>
      <c r="CF146" s="59" t="str">
        <f t="shared" si="152"/>
        <v>Recurring</v>
      </c>
      <c r="CG146" s="59" t="str">
        <f t="shared" si="152"/>
        <v>Recurring</v>
      </c>
      <c r="CH146" s="59" t="str">
        <f t="shared" si="152"/>
        <v>Recurring</v>
      </c>
      <c r="CI146" s="59" t="str">
        <f t="shared" si="152"/>
        <v>Recurring</v>
      </c>
      <c r="CJ146" s="59" t="str">
        <f t="shared" si="152"/>
        <v>Recurring</v>
      </c>
      <c r="CK146" s="59" t="str">
        <f t="shared" si="152"/>
        <v>Recurring</v>
      </c>
      <c r="CL146" s="59" t="str">
        <f t="shared" si="152"/>
        <v>Recurring</v>
      </c>
      <c r="CM146" s="59" t="str">
        <f t="shared" si="152"/>
        <v>Recurring</v>
      </c>
      <c r="CN146" s="59" t="str">
        <f t="shared" si="152"/>
        <v>Recurring</v>
      </c>
      <c r="CO146" s="59" t="str">
        <f t="shared" si="152"/>
        <v>Recurring</v>
      </c>
      <c r="CP146" s="59" t="str">
        <f t="shared" si="152"/>
        <v>Recurring</v>
      </c>
      <c r="CQ146" s="59" t="str">
        <f t="shared" si="152"/>
        <v>Recurring</v>
      </c>
      <c r="CR146" s="59" t="str">
        <f t="shared" si="152"/>
        <v>Recurring</v>
      </c>
      <c r="CS146" s="59" t="str">
        <f t="shared" si="152"/>
        <v>Recurring</v>
      </c>
      <c r="CT146" s="59" t="str">
        <f t="shared" si="152"/>
        <v>Recurring</v>
      </c>
      <c r="CU146" s="349" t="str">
        <f t="shared" si="152"/>
        <v>Recurring</v>
      </c>
      <c r="CV146" s="189"/>
    </row>
    <row r="147" spans="1:100" ht="13.5" thickBot="1" x14ac:dyDescent="0.25">
      <c r="A147" s="3" t="s">
        <v>60</v>
      </c>
      <c r="B147" s="46" t="str">
        <f>B6</f>
        <v>State, Federal, or Other?</v>
      </c>
      <c r="C147" s="72"/>
      <c r="D147" s="80" t="str">
        <f t="shared" ref="D147:AH147" si="153">D6</f>
        <v>State</v>
      </c>
      <c r="E147" s="80" t="str">
        <f t="shared" si="153"/>
        <v>State</v>
      </c>
      <c r="F147" s="80" t="str">
        <f t="shared" si="153"/>
        <v>Federal</v>
      </c>
      <c r="G147" s="80" t="str">
        <f t="shared" si="153"/>
        <v>Federal</v>
      </c>
      <c r="H147" s="80" t="str">
        <f t="shared" si="153"/>
        <v>Federal</v>
      </c>
      <c r="I147" s="80" t="str">
        <f t="shared" si="153"/>
        <v>Other</v>
      </c>
      <c r="J147" s="80" t="str">
        <f t="shared" si="153"/>
        <v>Other</v>
      </c>
      <c r="K147" s="80" t="str">
        <f t="shared" si="153"/>
        <v>Other</v>
      </c>
      <c r="L147" s="80" t="str">
        <f t="shared" si="153"/>
        <v>Other</v>
      </c>
      <c r="M147" s="80" t="str">
        <f t="shared" si="153"/>
        <v>Other</v>
      </c>
      <c r="N147" s="80" t="str">
        <f t="shared" si="153"/>
        <v>Other</v>
      </c>
      <c r="O147" s="80" t="str">
        <f t="shared" si="153"/>
        <v>Other</v>
      </c>
      <c r="P147" s="80" t="str">
        <f t="shared" si="153"/>
        <v>Other</v>
      </c>
      <c r="Q147" s="80" t="str">
        <f t="shared" si="153"/>
        <v>Other</v>
      </c>
      <c r="R147" s="80" t="str">
        <f t="shared" si="153"/>
        <v>Other</v>
      </c>
      <c r="S147" s="80" t="str">
        <f t="shared" si="153"/>
        <v>Other</v>
      </c>
      <c r="T147" s="80" t="str">
        <f t="shared" si="153"/>
        <v>Other</v>
      </c>
      <c r="U147" s="80" t="str">
        <f t="shared" si="153"/>
        <v>Other</v>
      </c>
      <c r="V147" s="80" t="str">
        <f t="shared" si="153"/>
        <v>Other</v>
      </c>
      <c r="W147" s="80" t="str">
        <f t="shared" si="153"/>
        <v>Other</v>
      </c>
      <c r="X147" s="80" t="str">
        <f t="shared" si="153"/>
        <v>Other</v>
      </c>
      <c r="Y147" s="80" t="str">
        <f t="shared" si="153"/>
        <v>Other</v>
      </c>
      <c r="Z147" s="80" t="str">
        <f t="shared" si="153"/>
        <v>Other</v>
      </c>
      <c r="AA147" s="80" t="str">
        <f t="shared" si="153"/>
        <v>Other</v>
      </c>
      <c r="AB147" s="80" t="str">
        <f t="shared" si="153"/>
        <v>Other</v>
      </c>
      <c r="AC147" s="80" t="str">
        <f t="shared" si="153"/>
        <v>Other</v>
      </c>
      <c r="AD147" s="80" t="str">
        <f t="shared" si="153"/>
        <v>Other</v>
      </c>
      <c r="AE147" s="80" t="str">
        <f t="shared" si="153"/>
        <v>Other</v>
      </c>
      <c r="AF147" s="80" t="str">
        <f t="shared" si="153"/>
        <v>Other</v>
      </c>
      <c r="AG147" s="80" t="str">
        <f t="shared" si="153"/>
        <v>Other</v>
      </c>
      <c r="AH147" s="80" t="str">
        <f t="shared" si="153"/>
        <v>Other</v>
      </c>
      <c r="AI147" s="80" t="str">
        <f t="shared" ref="AI147:BN147" si="154">AI6</f>
        <v>Other</v>
      </c>
      <c r="AJ147" s="80" t="str">
        <f t="shared" si="154"/>
        <v>Other</v>
      </c>
      <c r="AK147" s="80" t="str">
        <f t="shared" si="154"/>
        <v>Other</v>
      </c>
      <c r="AL147" s="80" t="str">
        <f t="shared" si="154"/>
        <v>Other</v>
      </c>
      <c r="AM147" s="80" t="str">
        <f t="shared" si="154"/>
        <v>Other</v>
      </c>
      <c r="AN147" s="80" t="str">
        <f t="shared" si="154"/>
        <v>Other</v>
      </c>
      <c r="AO147" s="80" t="str">
        <f t="shared" si="154"/>
        <v>Other</v>
      </c>
      <c r="AP147" s="80" t="str">
        <f t="shared" si="154"/>
        <v>Other</v>
      </c>
      <c r="AQ147" s="80" t="str">
        <f t="shared" si="154"/>
        <v>Other</v>
      </c>
      <c r="AR147" s="80" t="str">
        <f t="shared" si="154"/>
        <v>Other</v>
      </c>
      <c r="AS147" s="80" t="str">
        <f t="shared" si="154"/>
        <v>Other</v>
      </c>
      <c r="AT147" s="80" t="str">
        <f t="shared" si="154"/>
        <v>Other</v>
      </c>
      <c r="AU147" s="80" t="str">
        <f t="shared" si="154"/>
        <v>Other</v>
      </c>
      <c r="AV147" s="80" t="str">
        <f t="shared" si="154"/>
        <v>Other</v>
      </c>
      <c r="AW147" s="80" t="str">
        <f t="shared" si="154"/>
        <v>Other</v>
      </c>
      <c r="AX147" s="80" t="str">
        <f t="shared" si="154"/>
        <v>Other</v>
      </c>
      <c r="AY147" s="80" t="str">
        <f t="shared" si="154"/>
        <v>Other</v>
      </c>
      <c r="AZ147" s="80" t="str">
        <f t="shared" si="154"/>
        <v>Other</v>
      </c>
      <c r="BA147" s="80" t="str">
        <f t="shared" si="154"/>
        <v>Other</v>
      </c>
      <c r="BB147" s="80" t="str">
        <f t="shared" si="154"/>
        <v>Other</v>
      </c>
      <c r="BC147" s="80" t="str">
        <f t="shared" si="154"/>
        <v>Other</v>
      </c>
      <c r="BD147" s="386" t="str">
        <f t="shared" si="154"/>
        <v>Other</v>
      </c>
      <c r="BE147" s="80" t="str">
        <f t="shared" si="154"/>
        <v>Other</v>
      </c>
      <c r="BF147" s="80">
        <f t="shared" si="154"/>
        <v>0</v>
      </c>
      <c r="BG147" s="80">
        <f t="shared" si="154"/>
        <v>0</v>
      </c>
      <c r="BH147" s="80" t="str">
        <f t="shared" si="154"/>
        <v>Other</v>
      </c>
      <c r="BI147" s="80" t="str">
        <f t="shared" si="154"/>
        <v>Other</v>
      </c>
      <c r="BJ147" s="80" t="str">
        <f t="shared" si="154"/>
        <v>Other</v>
      </c>
      <c r="BK147" s="80" t="str">
        <f t="shared" si="154"/>
        <v>Other</v>
      </c>
      <c r="BL147" s="80" t="str">
        <f t="shared" si="154"/>
        <v>Other</v>
      </c>
      <c r="BM147" s="80" t="str">
        <f t="shared" si="154"/>
        <v>Other</v>
      </c>
      <c r="BN147" s="80" t="str">
        <f t="shared" si="154"/>
        <v>Other</v>
      </c>
      <c r="BO147" s="80" t="str">
        <f t="shared" ref="BO147:CU147" si="155">BO6</f>
        <v>Other</v>
      </c>
      <c r="BP147" s="80" t="str">
        <f t="shared" si="155"/>
        <v>Other</v>
      </c>
      <c r="BQ147" s="80" t="str">
        <f t="shared" si="155"/>
        <v>Other</v>
      </c>
      <c r="BR147" s="80" t="str">
        <f t="shared" si="155"/>
        <v>Other</v>
      </c>
      <c r="BS147" s="80" t="str">
        <f t="shared" si="155"/>
        <v>Other</v>
      </c>
      <c r="BT147" s="80" t="str">
        <f t="shared" si="155"/>
        <v>Other</v>
      </c>
      <c r="BU147" s="80" t="str">
        <f t="shared" si="155"/>
        <v>Other</v>
      </c>
      <c r="BV147" s="80" t="str">
        <f t="shared" si="155"/>
        <v>Other</v>
      </c>
      <c r="BW147" s="80" t="str">
        <f t="shared" si="155"/>
        <v>Other</v>
      </c>
      <c r="BX147" s="80" t="str">
        <f t="shared" si="155"/>
        <v>Other</v>
      </c>
      <c r="BY147" s="80" t="str">
        <f t="shared" si="155"/>
        <v>Other</v>
      </c>
      <c r="BZ147" s="80" t="str">
        <f t="shared" si="155"/>
        <v>Other</v>
      </c>
      <c r="CA147" s="80" t="str">
        <f t="shared" si="155"/>
        <v>Other</v>
      </c>
      <c r="CB147" s="80" t="str">
        <f t="shared" si="155"/>
        <v>Other</v>
      </c>
      <c r="CC147" s="80" t="str">
        <f t="shared" si="155"/>
        <v>Other</v>
      </c>
      <c r="CD147" s="80" t="str">
        <f t="shared" si="155"/>
        <v>Other</v>
      </c>
      <c r="CE147" s="80" t="str">
        <f t="shared" si="155"/>
        <v>Other</v>
      </c>
      <c r="CF147" s="80" t="str">
        <f t="shared" si="155"/>
        <v>Other</v>
      </c>
      <c r="CG147" s="80" t="str">
        <f t="shared" si="155"/>
        <v>Other</v>
      </c>
      <c r="CH147" s="80" t="str">
        <f t="shared" si="155"/>
        <v>Other</v>
      </c>
      <c r="CI147" s="80" t="str">
        <f t="shared" si="155"/>
        <v>Other</v>
      </c>
      <c r="CJ147" s="80" t="str">
        <f t="shared" si="155"/>
        <v>Other</v>
      </c>
      <c r="CK147" s="80" t="str">
        <f t="shared" si="155"/>
        <v>Other</v>
      </c>
      <c r="CL147" s="80" t="str">
        <f t="shared" si="155"/>
        <v>Other</v>
      </c>
      <c r="CM147" s="80" t="str">
        <f t="shared" si="155"/>
        <v>Other</v>
      </c>
      <c r="CN147" s="80" t="str">
        <f t="shared" si="155"/>
        <v>Other</v>
      </c>
      <c r="CO147" s="80" t="str">
        <f t="shared" si="155"/>
        <v>Other</v>
      </c>
      <c r="CP147" s="80" t="str">
        <f t="shared" si="155"/>
        <v>Other</v>
      </c>
      <c r="CQ147" s="80" t="str">
        <f t="shared" si="155"/>
        <v>Other</v>
      </c>
      <c r="CR147" s="80" t="str">
        <f t="shared" si="155"/>
        <v>Other</v>
      </c>
      <c r="CS147" s="80" t="str">
        <f t="shared" si="155"/>
        <v>Other</v>
      </c>
      <c r="CT147" s="80" t="str">
        <f t="shared" si="155"/>
        <v>Other</v>
      </c>
      <c r="CU147" s="387" t="str">
        <f t="shared" si="155"/>
        <v>Other</v>
      </c>
      <c r="CV147" s="190"/>
    </row>
    <row r="148" spans="1:100" s="105" customFormat="1" ht="38.25" hidden="1" outlineLevel="1" x14ac:dyDescent="0.2">
      <c r="A148" s="3"/>
      <c r="B148" s="12"/>
      <c r="C148" s="73"/>
      <c r="D148" s="176" t="s">
        <v>210</v>
      </c>
      <c r="E148" s="176" t="s">
        <v>210</v>
      </c>
      <c r="F148" s="176" t="s">
        <v>210</v>
      </c>
      <c r="G148" s="176" t="s">
        <v>210</v>
      </c>
      <c r="H148" s="176" t="s">
        <v>210</v>
      </c>
      <c r="I148" s="176" t="s">
        <v>210</v>
      </c>
      <c r="J148" s="176" t="s">
        <v>210</v>
      </c>
      <c r="K148" s="176" t="s">
        <v>210</v>
      </c>
      <c r="L148" s="176" t="s">
        <v>210</v>
      </c>
      <c r="M148" s="176" t="s">
        <v>210</v>
      </c>
      <c r="N148" s="176" t="s">
        <v>210</v>
      </c>
      <c r="O148" s="99" t="s">
        <v>1062</v>
      </c>
      <c r="P148" s="99" t="s">
        <v>1062</v>
      </c>
      <c r="Q148" s="99" t="s">
        <v>1062</v>
      </c>
      <c r="R148" s="99" t="s">
        <v>1062</v>
      </c>
      <c r="S148" s="99" t="s">
        <v>1062</v>
      </c>
      <c r="T148" s="99" t="s">
        <v>1062</v>
      </c>
      <c r="U148" s="100" t="s">
        <v>1063</v>
      </c>
      <c r="V148" s="100" t="s">
        <v>1063</v>
      </c>
      <c r="W148" s="100" t="s">
        <v>1063</v>
      </c>
      <c r="X148" s="100" t="s">
        <v>1063</v>
      </c>
      <c r="Y148" s="100" t="s">
        <v>1063</v>
      </c>
      <c r="Z148" s="100" t="s">
        <v>1063</v>
      </c>
      <c r="AA148" s="100" t="s">
        <v>1063</v>
      </c>
      <c r="AB148" s="100" t="s">
        <v>1063</v>
      </c>
      <c r="AC148" s="100" t="s">
        <v>1063</v>
      </c>
      <c r="AD148" s="100" t="s">
        <v>1063</v>
      </c>
      <c r="AE148" s="100" t="s">
        <v>1063</v>
      </c>
      <c r="AF148" s="100" t="s">
        <v>1063</v>
      </c>
      <c r="AG148" s="100" t="s">
        <v>1063</v>
      </c>
      <c r="AH148" s="100" t="s">
        <v>1063</v>
      </c>
      <c r="AI148" s="100" t="s">
        <v>1063</v>
      </c>
      <c r="AJ148" s="100" t="s">
        <v>1063</v>
      </c>
      <c r="AK148" s="100" t="s">
        <v>1063</v>
      </c>
      <c r="AL148" s="96" t="s">
        <v>1064</v>
      </c>
      <c r="AM148" s="96" t="s">
        <v>1064</v>
      </c>
      <c r="AN148" s="96" t="s">
        <v>1064</v>
      </c>
      <c r="AO148" s="96" t="s">
        <v>1064</v>
      </c>
      <c r="AP148" s="96" t="s">
        <v>1064</v>
      </c>
      <c r="AQ148" s="96" t="s">
        <v>1064</v>
      </c>
      <c r="AR148" s="96" t="s">
        <v>1064</v>
      </c>
      <c r="AS148" s="96" t="s">
        <v>1064</v>
      </c>
      <c r="AT148" s="96" t="s">
        <v>1064</v>
      </c>
      <c r="AU148" s="96" t="s">
        <v>1064</v>
      </c>
      <c r="AV148" s="96" t="s">
        <v>1064</v>
      </c>
      <c r="AW148" s="98" t="s">
        <v>1065</v>
      </c>
      <c r="AX148" s="98" t="s">
        <v>1065</v>
      </c>
      <c r="AY148" s="98" t="s">
        <v>1065</v>
      </c>
      <c r="AZ148" s="98" t="s">
        <v>1065</v>
      </c>
      <c r="BA148" s="98" t="s">
        <v>1065</v>
      </c>
      <c r="BB148" s="98" t="s">
        <v>1065</v>
      </c>
      <c r="BC148" s="98" t="s">
        <v>1065</v>
      </c>
      <c r="BD148" s="97" t="s">
        <v>456</v>
      </c>
      <c r="BE148" s="97" t="s">
        <v>456</v>
      </c>
      <c r="BF148" s="97" t="s">
        <v>456</v>
      </c>
      <c r="BG148" s="97" t="s">
        <v>456</v>
      </c>
      <c r="BH148" s="97" t="s">
        <v>456</v>
      </c>
      <c r="BI148" s="97" t="s">
        <v>456</v>
      </c>
      <c r="BJ148" s="97" t="s">
        <v>456</v>
      </c>
      <c r="BK148" s="97" t="s">
        <v>456</v>
      </c>
      <c r="BL148" s="97" t="s">
        <v>456</v>
      </c>
      <c r="BM148" s="97" t="s">
        <v>456</v>
      </c>
      <c r="BN148" s="97" t="s">
        <v>456</v>
      </c>
      <c r="BO148" s="97" t="s">
        <v>456</v>
      </c>
      <c r="BP148" s="97" t="s">
        <v>456</v>
      </c>
      <c r="BQ148" s="97" t="s">
        <v>456</v>
      </c>
      <c r="BR148" s="97" t="s">
        <v>456</v>
      </c>
      <c r="BS148" s="97" t="s">
        <v>456</v>
      </c>
      <c r="BT148" s="97" t="s">
        <v>456</v>
      </c>
      <c r="BU148" s="97" t="s">
        <v>456</v>
      </c>
      <c r="BV148" s="97" t="s">
        <v>456</v>
      </c>
      <c r="BW148" s="97" t="s">
        <v>456</v>
      </c>
      <c r="BX148" s="97" t="s">
        <v>456</v>
      </c>
      <c r="BY148" s="97" t="s">
        <v>456</v>
      </c>
      <c r="BZ148" s="97" t="s">
        <v>456</v>
      </c>
      <c r="CA148" s="97" t="s">
        <v>456</v>
      </c>
      <c r="CB148" s="97" t="s">
        <v>456</v>
      </c>
      <c r="CC148" s="97" t="s">
        <v>456</v>
      </c>
      <c r="CD148" s="97" t="s">
        <v>456</v>
      </c>
      <c r="CE148" s="97" t="s">
        <v>456</v>
      </c>
      <c r="CF148" s="97" t="s">
        <v>456</v>
      </c>
      <c r="CG148" s="97" t="s">
        <v>456</v>
      </c>
      <c r="CH148" s="97" t="s">
        <v>456</v>
      </c>
      <c r="CI148" s="97" t="s">
        <v>456</v>
      </c>
      <c r="CJ148" s="97" t="s">
        <v>456</v>
      </c>
      <c r="CK148" s="97" t="s">
        <v>456</v>
      </c>
      <c r="CL148" s="97" t="s">
        <v>456</v>
      </c>
      <c r="CM148" s="97" t="s">
        <v>456</v>
      </c>
      <c r="CN148" s="97" t="s">
        <v>456</v>
      </c>
      <c r="CO148" s="97" t="s">
        <v>456</v>
      </c>
      <c r="CP148" s="97" t="s">
        <v>456</v>
      </c>
      <c r="CQ148" s="97" t="s">
        <v>456</v>
      </c>
      <c r="CR148" s="97" t="s">
        <v>456</v>
      </c>
      <c r="CS148" s="97" t="s">
        <v>456</v>
      </c>
      <c r="CT148" s="97" t="s">
        <v>456</v>
      </c>
      <c r="CU148" s="97" t="s">
        <v>456</v>
      </c>
      <c r="CV148" s="190"/>
    </row>
    <row r="149" spans="1:100" ht="13.5" collapsed="1" thickBot="1" x14ac:dyDescent="0.25">
      <c r="A149" s="3"/>
      <c r="B149" s="19"/>
      <c r="C149" s="71"/>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89"/>
    </row>
    <row r="150" spans="1:100" x14ac:dyDescent="0.2">
      <c r="A150" s="3"/>
      <c r="B150" s="15" t="str">
        <f>B9</f>
        <v>Revenue Generated Last Year</v>
      </c>
      <c r="C150" s="33"/>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1"/>
      <c r="AZ150" s="171"/>
      <c r="BA150" s="171"/>
      <c r="BB150" s="171"/>
      <c r="BC150" s="171"/>
      <c r="BD150" s="380"/>
      <c r="BE150" s="171"/>
      <c r="BF150" s="171"/>
      <c r="BG150" s="171"/>
      <c r="BH150" s="171"/>
      <c r="BI150" s="171"/>
      <c r="BJ150" s="171"/>
      <c r="BK150" s="171"/>
      <c r="BL150" s="171"/>
      <c r="BM150" s="171"/>
      <c r="BN150" s="171"/>
      <c r="BO150" s="171"/>
      <c r="BP150" s="171"/>
      <c r="BQ150" s="171"/>
      <c r="BR150" s="171"/>
      <c r="BS150" s="171"/>
      <c r="BT150" s="171"/>
      <c r="BU150" s="171"/>
      <c r="BV150" s="171"/>
      <c r="BW150" s="171"/>
      <c r="BX150" s="171"/>
      <c r="BY150" s="171"/>
      <c r="BZ150" s="171"/>
      <c r="CA150" s="171"/>
      <c r="CB150" s="171"/>
      <c r="CC150" s="171"/>
      <c r="CD150" s="171"/>
      <c r="CE150" s="171"/>
      <c r="CF150" s="171"/>
      <c r="CG150" s="171"/>
      <c r="CH150" s="171"/>
      <c r="CI150" s="171"/>
      <c r="CJ150" s="171"/>
      <c r="CK150" s="171"/>
      <c r="CL150" s="171"/>
      <c r="CM150" s="171"/>
      <c r="CN150" s="171"/>
      <c r="CO150" s="171"/>
      <c r="CP150" s="171"/>
      <c r="CQ150" s="171"/>
      <c r="CR150" s="171"/>
      <c r="CS150" s="171"/>
      <c r="CT150" s="171"/>
      <c r="CU150" s="381"/>
      <c r="CV150" s="189"/>
    </row>
    <row r="151" spans="1:100" s="10" customFormat="1" x14ac:dyDescent="0.2">
      <c r="A151" s="3" t="s">
        <v>61</v>
      </c>
      <c r="B151" s="25" t="s">
        <v>93</v>
      </c>
      <c r="C151" s="50">
        <f>SUM(D151:DX151)</f>
        <v>83335411.779999986</v>
      </c>
      <c r="D151" s="26">
        <v>0</v>
      </c>
      <c r="E151" s="26">
        <v>0</v>
      </c>
      <c r="F151" s="26">
        <v>316267</v>
      </c>
      <c r="G151" s="26">
        <v>26384659.960000001</v>
      </c>
      <c r="H151" s="26">
        <v>3446368.05</v>
      </c>
      <c r="I151" s="26">
        <v>2919826</v>
      </c>
      <c r="J151" s="26">
        <v>4815860.0999999996</v>
      </c>
      <c r="K151" s="26">
        <v>404374.31</v>
      </c>
      <c r="L151" s="26">
        <v>-359820.13</v>
      </c>
      <c r="M151" s="26">
        <v>433115.13</v>
      </c>
      <c r="N151" s="26">
        <v>9843036.3100000005</v>
      </c>
      <c r="O151" s="26">
        <v>931610.04</v>
      </c>
      <c r="P151" s="26">
        <v>739236.05</v>
      </c>
      <c r="Q151" s="26">
        <v>3329847.12</v>
      </c>
      <c r="R151" s="26">
        <v>0</v>
      </c>
      <c r="S151" s="26">
        <v>247299.59</v>
      </c>
      <c r="T151" s="26">
        <v>356108.79</v>
      </c>
      <c r="U151" s="26">
        <v>1916.09</v>
      </c>
      <c r="V151" s="26">
        <v>337162.26</v>
      </c>
      <c r="W151" s="26">
        <v>235519.56</v>
      </c>
      <c r="X151" s="26">
        <v>43220.1</v>
      </c>
      <c r="Y151" s="26">
        <v>1353.26</v>
      </c>
      <c r="Z151" s="26">
        <v>1971799.56</v>
      </c>
      <c r="AA151" s="26">
        <v>183530</v>
      </c>
      <c r="AB151" s="26">
        <v>285</v>
      </c>
      <c r="AC151" s="26">
        <v>-142938.28</v>
      </c>
      <c r="AD151" s="26">
        <v>676363.01</v>
      </c>
      <c r="AE151" s="26">
        <v>1980771.28</v>
      </c>
      <c r="AF151" s="26">
        <v>449504.5</v>
      </c>
      <c r="AG151" s="26">
        <v>202538.28</v>
      </c>
      <c r="AH151" s="26">
        <v>48534.96</v>
      </c>
      <c r="AI151" s="26">
        <v>755852.15</v>
      </c>
      <c r="AJ151" s="26">
        <v>-4621.59</v>
      </c>
      <c r="AK151" s="26">
        <v>12478.01</v>
      </c>
      <c r="AL151" s="26">
        <v>81484.87</v>
      </c>
      <c r="AM151" s="26">
        <v>493367.87</v>
      </c>
      <c r="AN151" s="26">
        <v>219339.6</v>
      </c>
      <c r="AO151" s="26">
        <v>-5333.06</v>
      </c>
      <c r="AP151" s="26">
        <v>494656</v>
      </c>
      <c r="AQ151" s="26">
        <v>178110.37</v>
      </c>
      <c r="AR151" s="26">
        <v>297900</v>
      </c>
      <c r="AS151" s="26">
        <v>1247390</v>
      </c>
      <c r="AT151" s="26">
        <v>0</v>
      </c>
      <c r="AU151" s="26">
        <v>-830095.85</v>
      </c>
      <c r="AV151" s="26">
        <v>0</v>
      </c>
      <c r="AW151" s="26">
        <v>2398672.2200000002</v>
      </c>
      <c r="AX151" s="26">
        <v>160000</v>
      </c>
      <c r="AY151" s="26">
        <v>177603.15</v>
      </c>
      <c r="AZ151" s="26">
        <v>2342522.96</v>
      </c>
      <c r="BA151" s="26">
        <v>346112.68</v>
      </c>
      <c r="BB151" s="26">
        <v>1079896.68</v>
      </c>
      <c r="BC151" s="26">
        <v>436537.48</v>
      </c>
      <c r="BD151" s="179">
        <v>810247.91</v>
      </c>
      <c r="BE151" s="26">
        <v>-165816.07999999999</v>
      </c>
      <c r="BF151" s="26">
        <v>2000000</v>
      </c>
      <c r="BG151" s="26">
        <v>1000000</v>
      </c>
      <c r="BH151" s="26">
        <v>790621.1</v>
      </c>
      <c r="BI151" s="26">
        <v>984800</v>
      </c>
      <c r="BJ151" s="26">
        <v>1133103.1000000001</v>
      </c>
      <c r="BK151" s="26">
        <v>139812.57999999999</v>
      </c>
      <c r="BL151" s="26">
        <v>72340.87</v>
      </c>
      <c r="BM151" s="26">
        <v>0</v>
      </c>
      <c r="BN151" s="26">
        <v>0</v>
      </c>
      <c r="BO151" s="26">
        <v>0</v>
      </c>
      <c r="BP151" s="26">
        <v>0</v>
      </c>
      <c r="BQ151" s="26">
        <v>0</v>
      </c>
      <c r="BR151" s="26">
        <v>0</v>
      </c>
      <c r="BS151" s="26">
        <v>0</v>
      </c>
      <c r="BT151" s="26">
        <v>0</v>
      </c>
      <c r="BU151" s="26"/>
      <c r="BV151" s="26">
        <v>550218.89</v>
      </c>
      <c r="BW151" s="26">
        <v>1864993.01</v>
      </c>
      <c r="BX151" s="26">
        <v>580341.5</v>
      </c>
      <c r="BY151" s="26">
        <v>9417.89</v>
      </c>
      <c r="BZ151" s="26">
        <v>0</v>
      </c>
      <c r="CA151" s="26">
        <v>0</v>
      </c>
      <c r="CB151" s="26">
        <v>195000</v>
      </c>
      <c r="CC151" s="26">
        <v>10000</v>
      </c>
      <c r="CD151" s="26">
        <v>502.52</v>
      </c>
      <c r="CE151" s="26">
        <v>0</v>
      </c>
      <c r="CF151" s="26">
        <v>220000</v>
      </c>
      <c r="CG151" s="26">
        <v>267082.90000000002</v>
      </c>
      <c r="CH151" s="26">
        <v>153239.16</v>
      </c>
      <c r="CI151" s="26">
        <v>865890.94</v>
      </c>
      <c r="CJ151" s="26">
        <v>1841586.2</v>
      </c>
      <c r="CK151" s="26">
        <v>37606.57</v>
      </c>
      <c r="CL151" s="26">
        <v>200673.27</v>
      </c>
      <c r="CM151" s="26">
        <v>-106291.63</v>
      </c>
      <c r="CN151" s="26">
        <v>1950.07</v>
      </c>
      <c r="CO151" s="26">
        <v>3985.87</v>
      </c>
      <c r="CP151" s="26">
        <v>161911.13</v>
      </c>
      <c r="CQ151" s="26">
        <v>-649.87</v>
      </c>
      <c r="CR151" s="26">
        <v>214312.64</v>
      </c>
      <c r="CS151" s="26">
        <v>22960.73</v>
      </c>
      <c r="CT151" s="26">
        <v>42655.31</v>
      </c>
      <c r="CU151" s="352">
        <v>-246306.24</v>
      </c>
      <c r="CV151" s="189"/>
    </row>
    <row r="152" spans="1:100" s="10" customFormat="1" ht="26.25" thickBot="1" x14ac:dyDescent="0.25">
      <c r="A152" s="3" t="s">
        <v>62</v>
      </c>
      <c r="B152" s="46" t="str">
        <f t="shared" ref="B152:AG152" si="156">B11</f>
        <v>Does this revenue remain with the agency or go to the General Fund?</v>
      </c>
      <c r="C152" s="79"/>
      <c r="D152" s="83" t="str">
        <f t="shared" si="156"/>
        <v>General Fund</v>
      </c>
      <c r="E152" s="83" t="str">
        <f t="shared" si="156"/>
        <v>General Fund</v>
      </c>
      <c r="F152" s="83" t="str">
        <f t="shared" si="156"/>
        <v>General Fund</v>
      </c>
      <c r="G152" s="83" t="str">
        <f t="shared" si="156"/>
        <v>General Fund</v>
      </c>
      <c r="H152" s="83" t="str">
        <f t="shared" si="156"/>
        <v>General Fund</v>
      </c>
      <c r="I152" s="83" t="str">
        <f t="shared" si="156"/>
        <v>Agency</v>
      </c>
      <c r="J152" s="83" t="str">
        <f t="shared" si="156"/>
        <v>Agency</v>
      </c>
      <c r="K152" s="83" t="str">
        <f t="shared" si="156"/>
        <v>Agency</v>
      </c>
      <c r="L152" s="83" t="str">
        <f t="shared" si="156"/>
        <v>SC Dept of Revenue</v>
      </c>
      <c r="M152" s="83" t="str">
        <f t="shared" si="156"/>
        <v>Agency</v>
      </c>
      <c r="N152" s="83" t="str">
        <f t="shared" si="156"/>
        <v>Agency</v>
      </c>
      <c r="O152" s="83" t="str">
        <f t="shared" si="156"/>
        <v>Agency</v>
      </c>
      <c r="P152" s="83" t="str">
        <f t="shared" si="156"/>
        <v>Agency</v>
      </c>
      <c r="Q152" s="83" t="str">
        <f t="shared" si="156"/>
        <v>Agency</v>
      </c>
      <c r="R152" s="83" t="str">
        <f t="shared" si="156"/>
        <v>Agency</v>
      </c>
      <c r="S152" s="83" t="str">
        <f t="shared" si="156"/>
        <v>Agency</v>
      </c>
      <c r="T152" s="83" t="str">
        <f t="shared" si="156"/>
        <v>Agency</v>
      </c>
      <c r="U152" s="83" t="str">
        <f t="shared" si="156"/>
        <v>Agency</v>
      </c>
      <c r="V152" s="83" t="str">
        <f t="shared" si="156"/>
        <v>Agency</v>
      </c>
      <c r="W152" s="83" t="str">
        <f t="shared" si="156"/>
        <v>Agency</v>
      </c>
      <c r="X152" s="83" t="str">
        <f t="shared" si="156"/>
        <v>Agency</v>
      </c>
      <c r="Y152" s="83" t="str">
        <f t="shared" si="156"/>
        <v>Agency</v>
      </c>
      <c r="Z152" s="83" t="str">
        <f t="shared" si="156"/>
        <v>Agency</v>
      </c>
      <c r="AA152" s="83" t="str">
        <f t="shared" si="156"/>
        <v>Agency</v>
      </c>
      <c r="AB152" s="83" t="str">
        <f t="shared" si="156"/>
        <v>Agency</v>
      </c>
      <c r="AC152" s="83" t="str">
        <f t="shared" si="156"/>
        <v>Agency</v>
      </c>
      <c r="AD152" s="83" t="str">
        <f t="shared" si="156"/>
        <v>Agency</v>
      </c>
      <c r="AE152" s="83" t="str">
        <f t="shared" si="156"/>
        <v>Agency</v>
      </c>
      <c r="AF152" s="83" t="str">
        <f t="shared" si="156"/>
        <v>Agency</v>
      </c>
      <c r="AG152" s="83" t="str">
        <f t="shared" si="156"/>
        <v>Agency</v>
      </c>
      <c r="AH152" s="83" t="str">
        <f t="shared" ref="AH152:BM152" si="157">AH11</f>
        <v>Agency</v>
      </c>
      <c r="AI152" s="83" t="str">
        <f t="shared" si="157"/>
        <v>Agency</v>
      </c>
      <c r="AJ152" s="83" t="str">
        <f t="shared" si="157"/>
        <v>Agency</v>
      </c>
      <c r="AK152" s="83" t="str">
        <f t="shared" si="157"/>
        <v>Agency</v>
      </c>
      <c r="AL152" s="83" t="str">
        <f t="shared" si="157"/>
        <v>Agency</v>
      </c>
      <c r="AM152" s="83" t="str">
        <f t="shared" si="157"/>
        <v>Agency</v>
      </c>
      <c r="AN152" s="83" t="str">
        <f t="shared" si="157"/>
        <v>Agency</v>
      </c>
      <c r="AO152" s="83" t="str">
        <f t="shared" si="157"/>
        <v>Agency</v>
      </c>
      <c r="AP152" s="83" t="str">
        <f t="shared" si="157"/>
        <v>US Geological Survey</v>
      </c>
      <c r="AQ152" s="83" t="str">
        <f t="shared" si="157"/>
        <v>Agency</v>
      </c>
      <c r="AR152" s="83" t="str">
        <f t="shared" si="157"/>
        <v>Agency</v>
      </c>
      <c r="AS152" s="83" t="str">
        <f t="shared" si="157"/>
        <v>Agency</v>
      </c>
      <c r="AT152" s="83" t="str">
        <f t="shared" si="157"/>
        <v>Agency</v>
      </c>
      <c r="AU152" s="83" t="str">
        <f t="shared" si="157"/>
        <v>Agency</v>
      </c>
      <c r="AV152" s="83" t="str">
        <f t="shared" si="157"/>
        <v>Agency</v>
      </c>
      <c r="AW152" s="83" t="str">
        <f t="shared" si="157"/>
        <v>Agency</v>
      </c>
      <c r="AX152" s="83" t="str">
        <f t="shared" si="157"/>
        <v>Agency</v>
      </c>
      <c r="AY152" s="83" t="str">
        <f t="shared" si="157"/>
        <v>Agency</v>
      </c>
      <c r="AZ152" s="83" t="str">
        <f t="shared" si="157"/>
        <v>Agency</v>
      </c>
      <c r="BA152" s="83" t="str">
        <f t="shared" si="157"/>
        <v>Agency</v>
      </c>
      <c r="BB152" s="83" t="str">
        <f t="shared" si="157"/>
        <v>Agency</v>
      </c>
      <c r="BC152" s="83" t="str">
        <f t="shared" si="157"/>
        <v>Agency</v>
      </c>
      <c r="BD152" s="389" t="str">
        <f t="shared" si="157"/>
        <v>Agency</v>
      </c>
      <c r="BE152" s="83" t="str">
        <f t="shared" si="157"/>
        <v>Agency</v>
      </c>
      <c r="BF152" s="83" t="str">
        <f t="shared" si="157"/>
        <v>Agency</v>
      </c>
      <c r="BG152" s="83" t="str">
        <f t="shared" si="157"/>
        <v>Agency</v>
      </c>
      <c r="BH152" s="83" t="str">
        <f t="shared" si="157"/>
        <v>Agency</v>
      </c>
      <c r="BI152" s="83" t="str">
        <f t="shared" si="157"/>
        <v>Agency</v>
      </c>
      <c r="BJ152" s="83" t="str">
        <f t="shared" si="157"/>
        <v>Agency</v>
      </c>
      <c r="BK152" s="83" t="str">
        <f t="shared" si="157"/>
        <v>Agency</v>
      </c>
      <c r="BL152" s="83" t="str">
        <f t="shared" si="157"/>
        <v>Agency</v>
      </c>
      <c r="BM152" s="83" t="str">
        <f t="shared" si="157"/>
        <v>Agency</v>
      </c>
      <c r="BN152" s="83" t="str">
        <f t="shared" ref="BN152:CU152" si="158">BN11</f>
        <v>Agency</v>
      </c>
      <c r="BO152" s="83" t="str">
        <f t="shared" si="158"/>
        <v>Agency</v>
      </c>
      <c r="BP152" s="83" t="str">
        <f t="shared" si="158"/>
        <v>Agency</v>
      </c>
      <c r="BQ152" s="83" t="str">
        <f t="shared" si="158"/>
        <v>Agency</v>
      </c>
      <c r="BR152" s="83" t="str">
        <f t="shared" si="158"/>
        <v>Agency</v>
      </c>
      <c r="BS152" s="83" t="str">
        <f t="shared" si="158"/>
        <v>Agency</v>
      </c>
      <c r="BT152" s="83" t="str">
        <f t="shared" si="158"/>
        <v>Agency</v>
      </c>
      <c r="BU152" s="83" t="str">
        <f t="shared" si="158"/>
        <v>Agency</v>
      </c>
      <c r="BV152" s="83" t="str">
        <f t="shared" si="158"/>
        <v>Agency</v>
      </c>
      <c r="BW152" s="83" t="str">
        <f t="shared" si="158"/>
        <v>Agency</v>
      </c>
      <c r="BX152" s="83" t="str">
        <f t="shared" si="158"/>
        <v>Agency</v>
      </c>
      <c r="BY152" s="83" t="str">
        <f t="shared" si="158"/>
        <v>Agency</v>
      </c>
      <c r="BZ152" s="83" t="str">
        <f t="shared" si="158"/>
        <v>Agency</v>
      </c>
      <c r="CA152" s="83" t="str">
        <f t="shared" si="158"/>
        <v>Agency</v>
      </c>
      <c r="CB152" s="83" t="str">
        <f t="shared" si="158"/>
        <v>Agency</v>
      </c>
      <c r="CC152" s="83" t="str">
        <f t="shared" si="158"/>
        <v>Agency</v>
      </c>
      <c r="CD152" s="83" t="str">
        <f t="shared" si="158"/>
        <v>Agency</v>
      </c>
      <c r="CE152" s="83" t="str">
        <f t="shared" si="158"/>
        <v>Agency</v>
      </c>
      <c r="CF152" s="83" t="str">
        <f t="shared" si="158"/>
        <v>Agency</v>
      </c>
      <c r="CG152" s="83" t="str">
        <f t="shared" si="158"/>
        <v>Agency</v>
      </c>
      <c r="CH152" s="83" t="str">
        <f t="shared" si="158"/>
        <v>Agency</v>
      </c>
      <c r="CI152" s="83" t="str">
        <f t="shared" si="158"/>
        <v>Agency</v>
      </c>
      <c r="CJ152" s="83" t="str">
        <f t="shared" si="158"/>
        <v>Agency</v>
      </c>
      <c r="CK152" s="83" t="str">
        <f t="shared" si="158"/>
        <v>Agency</v>
      </c>
      <c r="CL152" s="83" t="str">
        <f t="shared" si="158"/>
        <v>Agency</v>
      </c>
      <c r="CM152" s="83" t="str">
        <f t="shared" si="158"/>
        <v>Agency</v>
      </c>
      <c r="CN152" s="83" t="str">
        <f t="shared" si="158"/>
        <v>Agency</v>
      </c>
      <c r="CO152" s="83" t="str">
        <f t="shared" si="158"/>
        <v>Agency</v>
      </c>
      <c r="CP152" s="83" t="str">
        <f t="shared" si="158"/>
        <v>Agency</v>
      </c>
      <c r="CQ152" s="83" t="str">
        <f t="shared" si="158"/>
        <v>Agency</v>
      </c>
      <c r="CR152" s="83" t="str">
        <f t="shared" si="158"/>
        <v>Agency</v>
      </c>
      <c r="CS152" s="83" t="str">
        <f t="shared" si="158"/>
        <v>Agency</v>
      </c>
      <c r="CT152" s="83" t="str">
        <f t="shared" si="158"/>
        <v>Agency</v>
      </c>
      <c r="CU152" s="390" t="str">
        <f t="shared" si="158"/>
        <v>Agency</v>
      </c>
      <c r="CV152" s="189"/>
    </row>
    <row r="153" spans="1:100" s="104" customFormat="1" ht="13.5" thickBot="1" x14ac:dyDescent="0.25">
      <c r="A153" s="3"/>
      <c r="B153" s="12"/>
      <c r="C153" s="73"/>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89"/>
    </row>
    <row r="154" spans="1:100" s="10" customFormat="1" outlineLevel="1" x14ac:dyDescent="0.2">
      <c r="A154" s="3"/>
      <c r="B154" s="15" t="str">
        <f>B13</f>
        <v>Funds in SCEIS where Revenue deposited</v>
      </c>
      <c r="C154" s="33"/>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4"/>
      <c r="BA154" s="334"/>
      <c r="BB154" s="334"/>
      <c r="BC154" s="334"/>
      <c r="BD154" s="334"/>
      <c r="BE154" s="334"/>
      <c r="BF154" s="334"/>
      <c r="BG154" s="334"/>
      <c r="BH154" s="334"/>
      <c r="BI154" s="334"/>
      <c r="BJ154" s="334"/>
      <c r="BK154" s="334"/>
      <c r="BL154" s="334"/>
      <c r="BM154" s="334"/>
      <c r="BN154" s="334"/>
      <c r="BO154" s="334"/>
      <c r="BP154" s="334"/>
      <c r="BQ154" s="334"/>
      <c r="BR154" s="334"/>
      <c r="BS154" s="334"/>
      <c r="BT154" s="334"/>
      <c r="BU154" s="334"/>
      <c r="BV154" s="334"/>
      <c r="BW154" s="334"/>
      <c r="BX154" s="334"/>
      <c r="BY154" s="334"/>
      <c r="BZ154" s="334"/>
      <c r="CA154" s="334"/>
      <c r="CB154" s="334"/>
      <c r="CC154" s="334"/>
      <c r="CD154" s="334"/>
      <c r="CE154" s="334"/>
      <c r="CF154" s="334"/>
      <c r="CG154" s="334"/>
      <c r="CH154" s="334"/>
      <c r="CI154" s="334"/>
      <c r="CJ154" s="334"/>
      <c r="CK154" s="334"/>
      <c r="CL154" s="334"/>
      <c r="CM154" s="334"/>
      <c r="CN154" s="334"/>
      <c r="CO154" s="334"/>
      <c r="CP154" s="334"/>
      <c r="CQ154" s="334"/>
      <c r="CR154" s="334"/>
      <c r="CS154" s="334"/>
      <c r="CT154" s="334"/>
      <c r="CU154" s="388"/>
      <c r="CV154" s="189"/>
    </row>
    <row r="155" spans="1:100" s="10" customFormat="1" ht="51" outlineLevel="1" x14ac:dyDescent="0.2">
      <c r="A155" s="3" t="s">
        <v>63</v>
      </c>
      <c r="B155" s="25" t="str">
        <f>B14</f>
        <v>Fund # (Expendable Level - 8 digit) (full set of financials available for each through SCEIS)</v>
      </c>
      <c r="C155" s="70" t="str">
        <f t="shared" ref="C155:AH155" si="159">C14</f>
        <v>N/A</v>
      </c>
      <c r="D155" s="59">
        <f t="shared" si="159"/>
        <v>10010000</v>
      </c>
      <c r="E155" s="59">
        <f t="shared" si="159"/>
        <v>10010000</v>
      </c>
      <c r="F155" s="59" t="str">
        <f t="shared" si="159"/>
        <v>28230000  28370000</v>
      </c>
      <c r="G155" s="59" t="str">
        <f t="shared" si="159"/>
        <v xml:space="preserve">50550000  50560000  55110001   55420000                   </v>
      </c>
      <c r="H155" s="59" t="str">
        <f t="shared" si="159"/>
        <v>57878000    57878010   57878020</v>
      </c>
      <c r="I155" s="59" t="str">
        <f t="shared" si="159"/>
        <v>36008000  36008010   36008020</v>
      </c>
      <c r="J155" s="59" t="str">
        <f t="shared" si="159"/>
        <v>39078000  39078010  39078020</v>
      </c>
      <c r="K155" s="59" t="str">
        <f t="shared" si="159"/>
        <v>44K80000  44K80001  44K80002</v>
      </c>
      <c r="L155" s="59">
        <f t="shared" si="159"/>
        <v>38000004</v>
      </c>
      <c r="M155" s="59">
        <f t="shared" si="159"/>
        <v>46050000</v>
      </c>
      <c r="N155" s="59">
        <f t="shared" si="159"/>
        <v>46090000</v>
      </c>
      <c r="O155" s="59">
        <f t="shared" si="159"/>
        <v>30350065</v>
      </c>
      <c r="P155" s="59">
        <f t="shared" si="159"/>
        <v>32850001</v>
      </c>
      <c r="Q155" s="59">
        <f t="shared" si="159"/>
        <v>38000001</v>
      </c>
      <c r="R155" s="59">
        <f t="shared" si="159"/>
        <v>38000005</v>
      </c>
      <c r="S155" s="59">
        <f t="shared" si="159"/>
        <v>46090001</v>
      </c>
      <c r="T155" s="59" t="str">
        <f t="shared" si="159"/>
        <v>48A50001</v>
      </c>
      <c r="U155" s="59">
        <f t="shared" si="159"/>
        <v>30350000</v>
      </c>
      <c r="V155" s="59">
        <f t="shared" si="159"/>
        <v>30350066</v>
      </c>
      <c r="W155" s="59">
        <f t="shared" si="159"/>
        <v>30350070</v>
      </c>
      <c r="X155" s="59">
        <f t="shared" si="159"/>
        <v>30350071</v>
      </c>
      <c r="Y155" s="59">
        <f t="shared" si="159"/>
        <v>38000000</v>
      </c>
      <c r="Z155" s="59">
        <f t="shared" si="159"/>
        <v>38000002</v>
      </c>
      <c r="AA155" s="59">
        <f t="shared" si="159"/>
        <v>30690000</v>
      </c>
      <c r="AB155" s="59">
        <f t="shared" si="159"/>
        <v>30980000</v>
      </c>
      <c r="AC155" s="59">
        <f t="shared" si="159"/>
        <v>32850000</v>
      </c>
      <c r="AD155" s="59">
        <f t="shared" si="159"/>
        <v>32850002</v>
      </c>
      <c r="AE155" s="59">
        <f t="shared" si="159"/>
        <v>32850004</v>
      </c>
      <c r="AF155" s="59">
        <f t="shared" si="159"/>
        <v>46070000</v>
      </c>
      <c r="AG155" s="59">
        <f t="shared" si="159"/>
        <v>46080000</v>
      </c>
      <c r="AH155" s="59">
        <f t="shared" si="159"/>
        <v>46090002</v>
      </c>
      <c r="AI155" s="59">
        <f t="shared" ref="AI155:BN155" si="160">AI14</f>
        <v>46090008</v>
      </c>
      <c r="AJ155" s="59" t="str">
        <f t="shared" si="160"/>
        <v>48A50000</v>
      </c>
      <c r="AK155" s="59" t="str">
        <f t="shared" si="160"/>
        <v>48A50002</v>
      </c>
      <c r="AL155" s="59">
        <f t="shared" si="160"/>
        <v>30350069</v>
      </c>
      <c r="AM155" s="59">
        <f t="shared" si="160"/>
        <v>32850003</v>
      </c>
      <c r="AN155" s="59">
        <f t="shared" si="160"/>
        <v>38000003</v>
      </c>
      <c r="AO155" s="59">
        <f t="shared" si="160"/>
        <v>39120000</v>
      </c>
      <c r="AP155" s="59">
        <f t="shared" si="160"/>
        <v>33487000</v>
      </c>
      <c r="AQ155" s="59">
        <f t="shared" si="160"/>
        <v>41890000</v>
      </c>
      <c r="AR155" s="59">
        <f t="shared" si="160"/>
        <v>43970000</v>
      </c>
      <c r="AS155" s="59">
        <f t="shared" si="160"/>
        <v>43970001</v>
      </c>
      <c r="AT155" s="59">
        <f t="shared" si="160"/>
        <v>45200000</v>
      </c>
      <c r="AU155" s="59">
        <f t="shared" si="160"/>
        <v>46640000</v>
      </c>
      <c r="AV155" s="59" t="str">
        <f t="shared" si="160"/>
        <v>45K80000</v>
      </c>
      <c r="AW155" s="59">
        <f t="shared" si="160"/>
        <v>30350067</v>
      </c>
      <c r="AX155" s="59">
        <f t="shared" si="160"/>
        <v>43970003</v>
      </c>
      <c r="AY155" s="59" t="str">
        <f t="shared" si="160"/>
        <v>44K90000  44K90001  44K90002</v>
      </c>
      <c r="AZ155" s="59" t="str">
        <f t="shared" si="160"/>
        <v>48A50003</v>
      </c>
      <c r="BA155" s="59" t="str">
        <f t="shared" si="160"/>
        <v>48A50004</v>
      </c>
      <c r="BB155" s="59" t="str">
        <f t="shared" si="160"/>
        <v>48A50005</v>
      </c>
      <c r="BC155" s="59" t="str">
        <f t="shared" si="160"/>
        <v>48A50006</v>
      </c>
      <c r="BD155" s="59">
        <f t="shared" si="160"/>
        <v>30350068</v>
      </c>
      <c r="BE155" s="59">
        <f t="shared" si="160"/>
        <v>30350078</v>
      </c>
      <c r="BF155" s="59">
        <f t="shared" si="160"/>
        <v>30350081</v>
      </c>
      <c r="BG155" s="59">
        <f t="shared" si="160"/>
        <v>30350097</v>
      </c>
      <c r="BH155" s="59">
        <f t="shared" si="160"/>
        <v>37050000</v>
      </c>
      <c r="BI155" s="59">
        <f t="shared" si="160"/>
        <v>37050001</v>
      </c>
      <c r="BJ155" s="59">
        <f t="shared" si="160"/>
        <v>41250000</v>
      </c>
      <c r="BK155" s="59">
        <f t="shared" si="160"/>
        <v>41257000</v>
      </c>
      <c r="BL155" s="59">
        <f t="shared" si="160"/>
        <v>43730000</v>
      </c>
      <c r="BM155" s="59">
        <f t="shared" si="160"/>
        <v>43950000</v>
      </c>
      <c r="BN155" s="59">
        <f t="shared" si="160"/>
        <v>43950001</v>
      </c>
      <c r="BO155" s="59">
        <f t="shared" ref="BO155:CU155" si="161">BO14</f>
        <v>43950002</v>
      </c>
      <c r="BP155" s="59">
        <f t="shared" si="161"/>
        <v>43950003</v>
      </c>
      <c r="BQ155" s="59">
        <f t="shared" si="161"/>
        <v>43950004</v>
      </c>
      <c r="BR155" s="59">
        <f t="shared" si="161"/>
        <v>43950005</v>
      </c>
      <c r="BS155" s="59">
        <f t="shared" si="161"/>
        <v>43950006</v>
      </c>
      <c r="BT155" s="59">
        <f t="shared" si="161"/>
        <v>43950007</v>
      </c>
      <c r="BU155" s="59">
        <f t="shared" si="161"/>
        <v>43957008</v>
      </c>
      <c r="BV155" s="59">
        <f t="shared" si="161"/>
        <v>43950009</v>
      </c>
      <c r="BW155" s="59">
        <f t="shared" si="161"/>
        <v>43970002</v>
      </c>
      <c r="BX155" s="59">
        <f t="shared" si="161"/>
        <v>45390000</v>
      </c>
      <c r="BY155" s="59">
        <f t="shared" si="161"/>
        <v>45390001</v>
      </c>
      <c r="BZ155" s="59">
        <f t="shared" si="161"/>
        <v>43950002</v>
      </c>
      <c r="CA155" s="59">
        <f t="shared" si="161"/>
        <v>45390003</v>
      </c>
      <c r="CB155" s="59">
        <f t="shared" si="161"/>
        <v>45390005</v>
      </c>
      <c r="CC155" s="59">
        <f t="shared" si="161"/>
        <v>45390006</v>
      </c>
      <c r="CD155" s="59">
        <f t="shared" si="161"/>
        <v>45390007</v>
      </c>
      <c r="CE155" s="59">
        <f t="shared" si="161"/>
        <v>45390008</v>
      </c>
      <c r="CF155" s="59">
        <f t="shared" si="161"/>
        <v>45390009</v>
      </c>
      <c r="CG155" s="59">
        <f t="shared" si="161"/>
        <v>46090003</v>
      </c>
      <c r="CH155" s="59">
        <f t="shared" si="161"/>
        <v>46090004</v>
      </c>
      <c r="CI155" s="59">
        <f t="shared" si="161"/>
        <v>46090005</v>
      </c>
      <c r="CJ155" s="59">
        <f t="shared" si="161"/>
        <v>46090006</v>
      </c>
      <c r="CK155" s="59">
        <f t="shared" si="161"/>
        <v>46090007</v>
      </c>
      <c r="CL155" s="59">
        <f t="shared" si="161"/>
        <v>46090009</v>
      </c>
      <c r="CM155" s="59">
        <f t="shared" si="161"/>
        <v>46090010</v>
      </c>
      <c r="CN155" s="59">
        <f t="shared" si="161"/>
        <v>46090011</v>
      </c>
      <c r="CO155" s="59">
        <f t="shared" si="161"/>
        <v>46090012</v>
      </c>
      <c r="CP155" s="59">
        <f t="shared" si="161"/>
        <v>46090013</v>
      </c>
      <c r="CQ155" s="59">
        <f t="shared" si="161"/>
        <v>46090014</v>
      </c>
      <c r="CR155" s="59">
        <f t="shared" si="161"/>
        <v>46090015</v>
      </c>
      <c r="CS155" s="59">
        <f t="shared" si="161"/>
        <v>46090016</v>
      </c>
      <c r="CT155" s="59">
        <f t="shared" si="161"/>
        <v>46090017</v>
      </c>
      <c r="CU155" s="349">
        <f t="shared" si="161"/>
        <v>47950000</v>
      </c>
      <c r="CV155" s="189"/>
    </row>
    <row r="156" spans="1:100" ht="51.75" outlineLevel="1" thickBot="1" x14ac:dyDescent="0.25">
      <c r="A156" s="3" t="s">
        <v>64</v>
      </c>
      <c r="B156" s="46" t="str">
        <f>B15</f>
        <v>Fund Description</v>
      </c>
      <c r="C156" s="72" t="str">
        <f t="shared" ref="C156:AH156" si="162">C15</f>
        <v>N/A</v>
      </c>
      <c r="D156" s="80" t="str">
        <f t="shared" si="162"/>
        <v>General Fund</v>
      </c>
      <c r="E156" s="80" t="str">
        <f t="shared" si="162"/>
        <v>General Fund</v>
      </c>
      <c r="F156" s="80" t="str">
        <f t="shared" si="162"/>
        <v>Indirect Cost Recov;      General Revenue</v>
      </c>
      <c r="G156" s="80" t="str">
        <f t="shared" si="162"/>
        <v xml:space="preserve">Federal </v>
      </c>
      <c r="H156" s="80" t="str">
        <f t="shared" si="162"/>
        <v>Capital Proj-Federal</v>
      </c>
      <c r="I156" s="80" t="str">
        <f t="shared" si="162"/>
        <v>Capital Projects-State Appropriations</v>
      </c>
      <c r="J156" s="80" t="str">
        <f t="shared" si="162"/>
        <v>Capital Projects - Other Funds</v>
      </c>
      <c r="K156" s="80" t="str">
        <f t="shared" si="162"/>
        <v>Fish &amp; Wildlife Deferred License</v>
      </c>
      <c r="L156" s="80" t="str">
        <f t="shared" si="162"/>
        <v xml:space="preserve">Boat Titling/Registration-DOR Casual Tax </v>
      </c>
      <c r="M156" s="80" t="str">
        <f t="shared" si="162"/>
        <v>County Game &amp; Fish Fund</v>
      </c>
      <c r="N156" s="80" t="str">
        <f t="shared" si="162"/>
        <v>Fish &amp; Wildlife Protection Fund</v>
      </c>
      <c r="O156" s="80" t="str">
        <f t="shared" si="162"/>
        <v>Other Operating-Law Enforcement</v>
      </c>
      <c r="P156" s="80" t="str">
        <f t="shared" si="162"/>
        <v>County Water Recreation Funds-Law Enforcement</v>
      </c>
      <c r="Q156" s="80" t="str">
        <f t="shared" si="162"/>
        <v xml:space="preserve">Boat Titling/Registration- Drew's Law-Law Enforcement </v>
      </c>
      <c r="R156" s="80" t="str">
        <f t="shared" si="162"/>
        <v xml:space="preserve">Boat Titling/Registration- Law Enforcement Inventory </v>
      </c>
      <c r="S156" s="80" t="str">
        <f t="shared" si="162"/>
        <v>Fish &amp; Wildlife Protection Fund-Law Enforcement</v>
      </c>
      <c r="T156" s="80" t="str">
        <f t="shared" si="162"/>
        <v>Marine Resources Fund-Law Enforcement</v>
      </c>
      <c r="U156" s="80" t="str">
        <f t="shared" si="162"/>
        <v>Other Operating Revenue</v>
      </c>
      <c r="V156" s="80" t="str">
        <f t="shared" si="162"/>
        <v>Other Operating-SC Wildlife Magazine</v>
      </c>
      <c r="W156" s="80" t="str">
        <f t="shared" si="162"/>
        <v>Other Operating-Outreach &amp; Support Services</v>
      </c>
      <c r="X156" s="80" t="str">
        <f t="shared" si="162"/>
        <v>Other Operating-Indirect Cost Recovery</v>
      </c>
      <c r="Y156" s="80" t="str">
        <f t="shared" si="162"/>
        <v xml:space="preserve">Boat Titling/Registration </v>
      </c>
      <c r="Z156" s="80" t="str">
        <f t="shared" si="162"/>
        <v xml:space="preserve">Boat Titling/Registration-Administration </v>
      </c>
      <c r="AA156" s="80" t="str">
        <f t="shared" si="162"/>
        <v>Aerial Photography Program</v>
      </c>
      <c r="AB156" s="80" t="str">
        <f t="shared" si="162"/>
        <v>Donations</v>
      </c>
      <c r="AC156" s="80" t="str">
        <f t="shared" si="162"/>
        <v>County Water Recreation Funds</v>
      </c>
      <c r="AD156" s="80" t="str">
        <f t="shared" si="162"/>
        <v>County Water Recreation Funds-Boating Access/ Engineering</v>
      </c>
      <c r="AE156" s="80" t="str">
        <f t="shared" si="162"/>
        <v>County Water Recreation Funds- County Funds</v>
      </c>
      <c r="AF156" s="80" t="str">
        <f t="shared" si="162"/>
        <v>Wildlife Endowment Fund - Princip</v>
      </c>
      <c r="AG156" s="80" t="str">
        <f t="shared" si="162"/>
        <v>Wildlife Endowment Fund-Income</v>
      </c>
      <c r="AH156" s="80" t="str">
        <f t="shared" si="162"/>
        <v>Fish &amp; Wildlife Protection Fund-Admin</v>
      </c>
      <c r="AI156" s="80" t="str">
        <f t="shared" ref="AI156:BN156" si="163">AI15</f>
        <v>Fish &amp; Wildlife Protection Fund-Indirect Cost Recovery</v>
      </c>
      <c r="AJ156" s="80" t="str">
        <f t="shared" si="163"/>
        <v>Marine Resources Fund</v>
      </c>
      <c r="AK156" s="80" t="str">
        <f t="shared" si="163"/>
        <v>Marine Resources Fund-Admin</v>
      </c>
      <c r="AL156" s="80" t="str">
        <f t="shared" si="163"/>
        <v>Other Operating-Land, Water &amp; Conservation</v>
      </c>
      <c r="AM156" s="80" t="str">
        <f t="shared" si="163"/>
        <v>County Water Recreation Funds-Aquatic Nuisance Plants</v>
      </c>
      <c r="AN156" s="80" t="str">
        <f t="shared" si="163"/>
        <v xml:space="preserve">Boat Titling/Registration-Land, Water &amp; Conservation </v>
      </c>
      <c r="AO156" s="80" t="str">
        <f t="shared" si="163"/>
        <v>Map Sales</v>
      </c>
      <c r="AP156" s="80" t="str">
        <f t="shared" si="163"/>
        <v>Private Coop Water Studies</v>
      </c>
      <c r="AQ156" s="80" t="str">
        <f t="shared" si="163"/>
        <v>Aquatic Plant Management Trust Fund</v>
      </c>
      <c r="AR156" s="80" t="str">
        <f t="shared" si="163"/>
        <v>Heritage Trust Operating-Habitat Protection</v>
      </c>
      <c r="AS156" s="80" t="str">
        <f t="shared" si="163"/>
        <v>Heritage Trust Operating-Cultural Preserves</v>
      </c>
      <c r="AT156" s="80" t="str">
        <f t="shared" si="163"/>
        <v>Heritage Land Trust Fund</v>
      </c>
      <c r="AU156" s="80" t="str">
        <f t="shared" si="163"/>
        <v>Heritage Trust Revenue Fund</v>
      </c>
      <c r="AV156" s="80" t="str">
        <f t="shared" si="163"/>
        <v>Scenic Rivers Trust Fund</v>
      </c>
      <c r="AW156" s="80" t="str">
        <f t="shared" si="163"/>
        <v>Other Operating-Marine Resources</v>
      </c>
      <c r="AX156" s="80" t="str">
        <f t="shared" si="163"/>
        <v>Heritage Trust Operating-Coastal Preserves</v>
      </c>
      <c r="AY156" s="80" t="str">
        <f t="shared" si="163"/>
        <v>Marine Resources Deferred License</v>
      </c>
      <c r="AZ156" s="80" t="str">
        <f t="shared" si="163"/>
        <v>Marine Resources Fund-Recreational Licenses</v>
      </c>
      <c r="BA156" s="80" t="str">
        <f t="shared" si="163"/>
        <v>Marine Resources Fund-Commercial Licenses</v>
      </c>
      <c r="BB156" s="80" t="str">
        <f t="shared" si="163"/>
        <v>Marine Resources Fund-Program Income</v>
      </c>
      <c r="BC156" s="80" t="str">
        <f t="shared" si="163"/>
        <v>Marine Resources Fund-Indirect Cost Recovery</v>
      </c>
      <c r="BD156" s="80" t="str">
        <f t="shared" si="163"/>
        <v>Other Operating- Wildlife &amp; Freshwater Fisheries</v>
      </c>
      <c r="BE156" s="80" t="str">
        <f t="shared" si="163"/>
        <v xml:space="preserve">Other Operating-Yawkey </v>
      </c>
      <c r="BF156" s="80" t="str">
        <f t="shared" si="163"/>
        <v>Other Operating-Pittman Robinson Match (Prov 117.143)</v>
      </c>
      <c r="BG156" s="80" t="str">
        <f t="shared" si="163"/>
        <v>Other Operating-NAWCA Match (Prov 117.144)</v>
      </c>
      <c r="BH156" s="80" t="str">
        <f t="shared" si="163"/>
        <v>Comprehensive Relicensing Agreements</v>
      </c>
      <c r="BI156" s="80" t="str">
        <f t="shared" si="163"/>
        <v>Comprehensive Relicensing Agreement-Catawba Wateree Basin-Duke</v>
      </c>
      <c r="BJ156" s="80" t="str">
        <f t="shared" si="163"/>
        <v>Yawkey Wildlife Operating Fund</v>
      </c>
      <c r="BK156" s="80" t="str">
        <f t="shared" si="163"/>
        <v>Yawkey Wildlife Trust Fund</v>
      </c>
      <c r="BL156" s="80" t="str">
        <f t="shared" si="163"/>
        <v>Nongame Wildlife &amp; Natural Areas Fund</v>
      </c>
      <c r="BM156" s="80" t="str">
        <f t="shared" si="163"/>
        <v>Mitigation Trust Fund</v>
      </c>
      <c r="BN156" s="80" t="str">
        <f t="shared" si="163"/>
        <v>Mitigation Trust Fund-Broad River</v>
      </c>
      <c r="BO156" s="80" t="str">
        <f t="shared" ref="BO156:CU156" si="164">BO15</f>
        <v>Mitigation Trust Fund-Reedy River</v>
      </c>
      <c r="BP156" s="80" t="str">
        <f t="shared" si="164"/>
        <v>Mitigation Trust Fund-Savannah River</v>
      </c>
      <c r="BQ156" s="80" t="str">
        <f t="shared" si="164"/>
        <v>Mitigation Trust Fund-Buzzards Roost</v>
      </c>
      <c r="BR156" s="80" t="str">
        <f t="shared" si="164"/>
        <v>Mitigation Trust Fund-St Stephen's Fish Lift</v>
      </c>
      <c r="BS156" s="80" t="str">
        <f t="shared" si="164"/>
        <v>Mitigation Trust Fund-Star Evviva</v>
      </c>
      <c r="BT156" s="80" t="str">
        <f t="shared" si="164"/>
        <v>Mitigation Trust Fund-US Army Corps of Engineers</v>
      </c>
      <c r="BU156" s="80" t="str">
        <f t="shared" si="164"/>
        <v>Mitigation Trust Fund-12 Mile Creek &amp; Hartwell</v>
      </c>
      <c r="BV156" s="80" t="str">
        <f t="shared" si="164"/>
        <v>Mitigation Trust Fund-SHEP Sturgeon</v>
      </c>
      <c r="BW156" s="80" t="str">
        <f t="shared" si="164"/>
        <v>Heritage Trust Operating-Heritage Preserves</v>
      </c>
      <c r="BX156" s="80" t="str">
        <f t="shared" si="164"/>
        <v>Mitigation Trust Operating Fund</v>
      </c>
      <c r="BY156" s="80" t="str">
        <f t="shared" si="164"/>
        <v>Mitigation Trust Operating Fund-Broad River</v>
      </c>
      <c r="BZ156" s="80" t="str">
        <f t="shared" si="164"/>
        <v>Mitigation Trust Operating Fund-Reedy River</v>
      </c>
      <c r="CA156" s="80" t="str">
        <f t="shared" si="164"/>
        <v>Mitigation Trust Operating Fund-Savannah River</v>
      </c>
      <c r="CB156" s="80" t="str">
        <f t="shared" si="164"/>
        <v>Mitigation Trust Operating Fund-St Stephen's Fish Lift</v>
      </c>
      <c r="CC156" s="80" t="str">
        <f t="shared" si="164"/>
        <v>Mitigation Trust Operating Fund-Star Evviva</v>
      </c>
      <c r="CD156" s="80" t="str">
        <f t="shared" si="164"/>
        <v>Mitigation Trust Operating Fund-US Army Corps of Engineers</v>
      </c>
      <c r="CE156" s="80" t="str">
        <f t="shared" si="164"/>
        <v>Mitigation Trust Operating Fund- 12 Mile Creek &amp; Hartwell</v>
      </c>
      <c r="CF156" s="80" t="str">
        <f t="shared" si="164"/>
        <v>Mitigation Trust Operating Fund- SHEP Sturgeon</v>
      </c>
      <c r="CG156" s="80" t="str">
        <f t="shared" si="164"/>
        <v>Fish &amp; Wildlife Protection Fund-Duck</v>
      </c>
      <c r="CH156" s="80" t="str">
        <f t="shared" si="164"/>
        <v>Fish &amp; Wildlife Protection Fund-Deer</v>
      </c>
      <c r="CI156" s="80" t="str">
        <f t="shared" si="164"/>
        <v>Fish &amp; Wildlife Protection Fund-Timber</v>
      </c>
      <c r="CJ156" s="80" t="str">
        <f t="shared" si="164"/>
        <v>Fish &amp; Wildlife Protection Fund-WMA Lands</v>
      </c>
      <c r="CK156" s="80" t="str">
        <f t="shared" si="164"/>
        <v>Fish &amp; Wildlife Protection Fund-Black Bear</v>
      </c>
      <c r="CL156" s="80" t="str">
        <f t="shared" si="164"/>
        <v>Fish &amp; Wildlife Protection Fund-Alligator</v>
      </c>
      <c r="CM156" s="80" t="str">
        <f t="shared" si="164"/>
        <v>Fish &amp; Wildlife Protection Fund-Grass Carp</v>
      </c>
      <c r="CN156" s="80" t="str">
        <f t="shared" si="164"/>
        <v>Fish &amp; Wildlife Protection Fund-Aquaculture</v>
      </c>
      <c r="CO156" s="80" t="str">
        <f t="shared" si="164"/>
        <v>Fish &amp; Wildlife Protection Fund-Wildlife Permits</v>
      </c>
      <c r="CP156" s="80" t="str">
        <f t="shared" si="164"/>
        <v>Fish &amp; Wildlife Protection Fund-Draw Hunts</v>
      </c>
      <c r="CQ156" s="80" t="str">
        <f t="shared" si="164"/>
        <v>Fish &amp; Wildlife Protection Fund-Coyote</v>
      </c>
      <c r="CR156" s="80" t="str">
        <f t="shared" si="164"/>
        <v>Fish &amp; Wildlife Protection Fund-FW Hatcheries</v>
      </c>
      <c r="CS156" s="80" t="str">
        <f t="shared" si="164"/>
        <v>Fish &amp; Wildlife Protection Fund-Commercial Fur</v>
      </c>
      <c r="CT156" s="80" t="str">
        <f t="shared" si="164"/>
        <v>Fish &amp; Wildlife Protection Fund-Shooting Preserves</v>
      </c>
      <c r="CU156" s="387" t="str">
        <f t="shared" si="164"/>
        <v>Jocassee Gorges Trust Fund</v>
      </c>
      <c r="CV156" s="189"/>
    </row>
    <row r="157" spans="1:100" ht="13.5" outlineLevel="1" thickBot="1" x14ac:dyDescent="0.25">
      <c r="A157" s="3"/>
      <c r="B157" s="12"/>
      <c r="C157" s="73"/>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89"/>
    </row>
    <row r="158" spans="1:100" x14ac:dyDescent="0.2">
      <c r="A158" s="3"/>
      <c r="B158" s="15" t="str">
        <f>B17</f>
        <v>Cash Balances at Start of Year</v>
      </c>
      <c r="C158" s="33"/>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171"/>
      <c r="AA158" s="171"/>
      <c r="AB158" s="171"/>
      <c r="AC158" s="171"/>
      <c r="AD158" s="171"/>
      <c r="AE158" s="171"/>
      <c r="AF158" s="171"/>
      <c r="AG158" s="171"/>
      <c r="AH158" s="171"/>
      <c r="AI158" s="171"/>
      <c r="AJ158" s="171"/>
      <c r="AK158" s="171"/>
      <c r="AL158" s="171"/>
      <c r="AM158" s="171"/>
      <c r="AN158" s="171"/>
      <c r="AO158" s="171"/>
      <c r="AP158" s="171"/>
      <c r="AQ158" s="171"/>
      <c r="AR158" s="171"/>
      <c r="AS158" s="171"/>
      <c r="AT158" s="171"/>
      <c r="AU158" s="171"/>
      <c r="AV158" s="171"/>
      <c r="AW158" s="171"/>
      <c r="AX158" s="171"/>
      <c r="AY158" s="171"/>
      <c r="AZ158" s="171"/>
      <c r="BA158" s="171"/>
      <c r="BB158" s="171"/>
      <c r="BC158" s="171"/>
      <c r="BD158" s="380"/>
      <c r="BE158" s="171"/>
      <c r="BF158" s="171"/>
      <c r="BG158" s="171"/>
      <c r="BH158" s="171"/>
      <c r="BI158" s="171"/>
      <c r="BJ158" s="171"/>
      <c r="BK158" s="171"/>
      <c r="BL158" s="171"/>
      <c r="BM158" s="171"/>
      <c r="BN158" s="171"/>
      <c r="BO158" s="171"/>
      <c r="BP158" s="171"/>
      <c r="BQ158" s="171"/>
      <c r="BR158" s="171"/>
      <c r="BS158" s="171"/>
      <c r="BT158" s="171"/>
      <c r="BU158" s="171"/>
      <c r="BV158" s="171"/>
      <c r="BW158" s="171"/>
      <c r="BX158" s="171"/>
      <c r="BY158" s="171"/>
      <c r="BZ158" s="171"/>
      <c r="CA158" s="171"/>
      <c r="CB158" s="171"/>
      <c r="CC158" s="171"/>
      <c r="CD158" s="171"/>
      <c r="CE158" s="171"/>
      <c r="CF158" s="171"/>
      <c r="CG158" s="171"/>
      <c r="CH158" s="171"/>
      <c r="CI158" s="171"/>
      <c r="CJ158" s="171"/>
      <c r="CK158" s="171"/>
      <c r="CL158" s="171"/>
      <c r="CM158" s="171"/>
      <c r="CN158" s="171"/>
      <c r="CO158" s="171"/>
      <c r="CP158" s="171"/>
      <c r="CQ158" s="171"/>
      <c r="CR158" s="171"/>
      <c r="CS158" s="171"/>
      <c r="CT158" s="171"/>
      <c r="CU158" s="381"/>
      <c r="CV158" s="189"/>
    </row>
    <row r="159" spans="1:100" ht="13.5" thickBot="1" x14ac:dyDescent="0.25">
      <c r="A159" s="3" t="s">
        <v>65</v>
      </c>
      <c r="B159" s="40" t="s">
        <v>1015</v>
      </c>
      <c r="C159" s="52">
        <f t="shared" ref="C159:AH159" si="165">C141</f>
        <v>93753883.409999982</v>
      </c>
      <c r="D159" s="41">
        <f t="shared" si="165"/>
        <v>380062.98</v>
      </c>
      <c r="E159" s="41">
        <f t="shared" si="165"/>
        <v>8470867.5</v>
      </c>
      <c r="F159" s="41">
        <f t="shared" si="165"/>
        <v>316267.2</v>
      </c>
      <c r="G159" s="41">
        <f t="shared" si="165"/>
        <v>-6017780.1600000001</v>
      </c>
      <c r="H159" s="41">
        <f t="shared" si="165"/>
        <v>-154502.82999999999</v>
      </c>
      <c r="I159" s="41">
        <f t="shared" si="165"/>
        <v>3332845.57</v>
      </c>
      <c r="J159" s="41">
        <f t="shared" si="165"/>
        <v>1326110.6200000001</v>
      </c>
      <c r="K159" s="41">
        <f t="shared" si="165"/>
        <v>1879175.48</v>
      </c>
      <c r="L159" s="41">
        <f t="shared" si="165"/>
        <v>8204.8700000000008</v>
      </c>
      <c r="M159" s="41">
        <f t="shared" si="165"/>
        <v>3344655.81</v>
      </c>
      <c r="N159" s="41">
        <f t="shared" si="165"/>
        <v>1454679.66</v>
      </c>
      <c r="O159" s="41">
        <f t="shared" si="165"/>
        <v>615415.27</v>
      </c>
      <c r="P159" s="41">
        <f t="shared" si="165"/>
        <v>430541.79</v>
      </c>
      <c r="Q159" s="41">
        <f t="shared" si="165"/>
        <v>630771.56999999995</v>
      </c>
      <c r="R159" s="41">
        <f t="shared" si="165"/>
        <v>85010.559999999998</v>
      </c>
      <c r="S159" s="41">
        <f t="shared" si="165"/>
        <v>365713.45</v>
      </c>
      <c r="T159" s="41">
        <f t="shared" si="165"/>
        <v>753514.88</v>
      </c>
      <c r="U159" s="41">
        <f t="shared" si="165"/>
        <v>476063.93</v>
      </c>
      <c r="V159" s="41">
        <f t="shared" si="165"/>
        <v>439114.81</v>
      </c>
      <c r="W159" s="41">
        <f t="shared" si="165"/>
        <v>389005.55</v>
      </c>
      <c r="X159" s="41">
        <f t="shared" si="165"/>
        <v>46382.47</v>
      </c>
      <c r="Y159" s="41">
        <f t="shared" si="165"/>
        <v>14011.64</v>
      </c>
      <c r="Z159" s="41">
        <f t="shared" si="165"/>
        <v>338528.06</v>
      </c>
      <c r="AA159" s="41">
        <f t="shared" si="165"/>
        <v>273173.19</v>
      </c>
      <c r="AB159" s="41">
        <f t="shared" si="165"/>
        <v>5278.94</v>
      </c>
      <c r="AC159" s="41">
        <f t="shared" si="165"/>
        <v>3737413.24</v>
      </c>
      <c r="AD159" s="41">
        <f t="shared" si="165"/>
        <v>102962.98</v>
      </c>
      <c r="AE159" s="41">
        <f t="shared" si="165"/>
        <v>14263956.050000001</v>
      </c>
      <c r="AF159" s="41">
        <f t="shared" si="165"/>
        <v>5287826.63</v>
      </c>
      <c r="AG159" s="41">
        <f t="shared" si="165"/>
        <v>440343.8</v>
      </c>
      <c r="AH159" s="41">
        <f t="shared" si="165"/>
        <v>66542.600000000006</v>
      </c>
      <c r="AI159" s="41">
        <f t="shared" ref="AI159:BN159" si="166">AI141</f>
        <v>566097.07999999996</v>
      </c>
      <c r="AJ159" s="41">
        <f t="shared" si="166"/>
        <v>56101.15</v>
      </c>
      <c r="AK159" s="41">
        <f t="shared" si="166"/>
        <v>9716.0400000000009</v>
      </c>
      <c r="AL159" s="41">
        <f t="shared" si="166"/>
        <v>204155.31</v>
      </c>
      <c r="AM159" s="41">
        <f t="shared" si="166"/>
        <v>442720.43</v>
      </c>
      <c r="AN159" s="41">
        <f t="shared" si="166"/>
        <v>117707.29</v>
      </c>
      <c r="AO159" s="41">
        <f t="shared" si="166"/>
        <v>12376.35</v>
      </c>
      <c r="AP159" s="41">
        <f t="shared" si="166"/>
        <v>0</v>
      </c>
      <c r="AQ159" s="41">
        <f t="shared" si="166"/>
        <v>427400.27</v>
      </c>
      <c r="AR159" s="41">
        <f t="shared" si="166"/>
        <v>521558.65</v>
      </c>
      <c r="AS159" s="41">
        <f t="shared" si="166"/>
        <v>1236378.18</v>
      </c>
      <c r="AT159" s="41">
        <f t="shared" si="166"/>
        <v>5091750.96</v>
      </c>
      <c r="AU159" s="41">
        <f t="shared" si="166"/>
        <v>0</v>
      </c>
      <c r="AV159" s="41">
        <f t="shared" si="166"/>
        <v>20411.509999999998</v>
      </c>
      <c r="AW159" s="41">
        <f t="shared" si="166"/>
        <v>594603.91</v>
      </c>
      <c r="AX159" s="41">
        <f t="shared" si="166"/>
        <v>80296.639999999999</v>
      </c>
      <c r="AY159" s="41">
        <f t="shared" si="166"/>
        <v>776884.13</v>
      </c>
      <c r="AZ159" s="41">
        <f t="shared" si="166"/>
        <v>1254673.3600000001</v>
      </c>
      <c r="BA159" s="41">
        <f t="shared" si="166"/>
        <v>91944.66</v>
      </c>
      <c r="BB159" s="41">
        <f t="shared" si="166"/>
        <v>1033656.2</v>
      </c>
      <c r="BC159" s="41">
        <f t="shared" si="166"/>
        <v>282723.71999999997</v>
      </c>
      <c r="BD159" s="354">
        <f t="shared" si="166"/>
        <v>1990597.18</v>
      </c>
      <c r="BE159" s="41">
        <f t="shared" si="166"/>
        <v>0</v>
      </c>
      <c r="BF159" s="41">
        <f t="shared" si="166"/>
        <v>1196439.71</v>
      </c>
      <c r="BG159" s="41">
        <f t="shared" si="166"/>
        <v>915683</v>
      </c>
      <c r="BH159" s="41">
        <f t="shared" si="166"/>
        <v>744969.92</v>
      </c>
      <c r="BI159" s="41">
        <f t="shared" si="166"/>
        <v>984800</v>
      </c>
      <c r="BJ159" s="41">
        <f t="shared" si="166"/>
        <v>94204.39</v>
      </c>
      <c r="BK159" s="41">
        <f t="shared" si="166"/>
        <v>139812.57999999999</v>
      </c>
      <c r="BL159" s="41">
        <f t="shared" si="166"/>
        <v>133493.87</v>
      </c>
      <c r="BM159" s="41">
        <f t="shared" si="166"/>
        <v>3253601.97</v>
      </c>
      <c r="BN159" s="41">
        <f t="shared" si="166"/>
        <v>949110.5</v>
      </c>
      <c r="BO159" s="41">
        <f t="shared" ref="BO159:CU159" si="167">BO141</f>
        <v>206818.68</v>
      </c>
      <c r="BP159" s="41">
        <f t="shared" si="167"/>
        <v>20825.82</v>
      </c>
      <c r="BQ159" s="41">
        <f t="shared" si="167"/>
        <v>521442.35</v>
      </c>
      <c r="BR159" s="41">
        <f t="shared" si="167"/>
        <v>4237401.17</v>
      </c>
      <c r="BS159" s="41">
        <f t="shared" si="167"/>
        <v>195516.91</v>
      </c>
      <c r="BT159" s="41">
        <f t="shared" si="167"/>
        <v>5451388.1600000001</v>
      </c>
      <c r="BU159" s="41">
        <f t="shared" si="167"/>
        <v>3850742.5</v>
      </c>
      <c r="BV159" s="41">
        <f t="shared" si="167"/>
        <v>1808155.45</v>
      </c>
      <c r="BW159" s="41">
        <f t="shared" si="167"/>
        <v>2464118.4900000002</v>
      </c>
      <c r="BX159" s="41">
        <f t="shared" si="167"/>
        <v>199983.75</v>
      </c>
      <c r="BY159" s="41">
        <f t="shared" si="167"/>
        <v>22573.42</v>
      </c>
      <c r="BZ159" s="41">
        <f t="shared" si="167"/>
        <v>206818.68</v>
      </c>
      <c r="CA159" s="41">
        <f t="shared" si="167"/>
        <v>79743.58</v>
      </c>
      <c r="CB159" s="41">
        <f t="shared" si="167"/>
        <v>50063.83</v>
      </c>
      <c r="CC159" s="41">
        <f t="shared" si="167"/>
        <v>0</v>
      </c>
      <c r="CD159" s="41">
        <f t="shared" si="167"/>
        <v>33087.120000000003</v>
      </c>
      <c r="CE159" s="41">
        <f t="shared" si="167"/>
        <v>128789</v>
      </c>
      <c r="CF159" s="41">
        <f t="shared" si="167"/>
        <v>116331.98</v>
      </c>
      <c r="CG159" s="41">
        <f t="shared" si="167"/>
        <v>320550.64</v>
      </c>
      <c r="CH159" s="41">
        <f t="shared" si="167"/>
        <v>2008343.02</v>
      </c>
      <c r="CI159" s="41">
        <f t="shared" si="167"/>
        <v>3311594.36</v>
      </c>
      <c r="CJ159" s="41">
        <f t="shared" si="167"/>
        <v>292042.96999999997</v>
      </c>
      <c r="CK159" s="41">
        <f t="shared" si="167"/>
        <v>65927.759999999995</v>
      </c>
      <c r="CL159" s="41">
        <f t="shared" si="167"/>
        <v>520360.05</v>
      </c>
      <c r="CM159" s="41">
        <f t="shared" si="167"/>
        <v>345135.87</v>
      </c>
      <c r="CN159" s="41">
        <f t="shared" si="167"/>
        <v>10052.02</v>
      </c>
      <c r="CO159" s="41">
        <f t="shared" si="167"/>
        <v>11485.87</v>
      </c>
      <c r="CP159" s="41">
        <f t="shared" si="167"/>
        <v>378369.82</v>
      </c>
      <c r="CQ159" s="41">
        <f t="shared" si="167"/>
        <v>0.13</v>
      </c>
      <c r="CR159" s="41">
        <f t="shared" si="167"/>
        <v>214246.48</v>
      </c>
      <c r="CS159" s="41">
        <f t="shared" si="167"/>
        <v>105051.91</v>
      </c>
      <c r="CT159" s="41">
        <f t="shared" si="167"/>
        <v>223456.75</v>
      </c>
      <c r="CU159" s="345">
        <f t="shared" si="167"/>
        <v>27437.8</v>
      </c>
      <c r="CV159" s="189"/>
    </row>
    <row r="160" spans="1:100" ht="13.5" thickBot="1" x14ac:dyDescent="0.25">
      <c r="A160" s="3"/>
      <c r="B160" s="162"/>
      <c r="C160" s="71"/>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89"/>
    </row>
    <row r="161" spans="1:100" x14ac:dyDescent="0.2">
      <c r="A161" s="3"/>
      <c r="B161" s="18" t="str">
        <f>B21</f>
        <v>General Appropriations Act Programs</v>
      </c>
      <c r="C161" s="33"/>
      <c r="D161" s="335"/>
      <c r="E161" s="335"/>
      <c r="F161" s="335"/>
      <c r="G161" s="335"/>
      <c r="H161" s="335"/>
      <c r="I161" s="335"/>
      <c r="J161" s="335"/>
      <c r="K161" s="335"/>
      <c r="L161" s="335"/>
      <c r="M161" s="335"/>
      <c r="N161" s="335"/>
      <c r="O161" s="335"/>
      <c r="P161" s="335"/>
      <c r="Q161" s="335"/>
      <c r="R161" s="335"/>
      <c r="S161" s="335"/>
      <c r="T161" s="335"/>
      <c r="U161" s="335"/>
      <c r="V161" s="335"/>
      <c r="W161" s="335"/>
      <c r="X161" s="335"/>
      <c r="Y161" s="335"/>
      <c r="Z161" s="335"/>
      <c r="AA161" s="335"/>
      <c r="AB161" s="335"/>
      <c r="AC161" s="335"/>
      <c r="AD161" s="335"/>
      <c r="AE161" s="335"/>
      <c r="AF161" s="335"/>
      <c r="AG161" s="335"/>
      <c r="AH161" s="335"/>
      <c r="AI161" s="335"/>
      <c r="AJ161" s="335"/>
      <c r="AK161" s="335"/>
      <c r="AL161" s="335"/>
      <c r="AM161" s="335"/>
      <c r="AN161" s="335"/>
      <c r="AO161" s="335"/>
      <c r="AP161" s="335"/>
      <c r="AQ161" s="335"/>
      <c r="AR161" s="335"/>
      <c r="AS161" s="335"/>
      <c r="AT161" s="335"/>
      <c r="AU161" s="335"/>
      <c r="AV161" s="335"/>
      <c r="AW161" s="335"/>
      <c r="AX161" s="335"/>
      <c r="AY161" s="335"/>
      <c r="AZ161" s="335"/>
      <c r="BA161" s="335"/>
      <c r="BB161" s="335"/>
      <c r="BC161" s="335"/>
      <c r="BD161" s="384"/>
      <c r="BE161" s="335"/>
      <c r="BF161" s="335"/>
      <c r="BG161" s="335"/>
      <c r="BH161" s="335"/>
      <c r="BI161" s="335"/>
      <c r="BJ161" s="335"/>
      <c r="BK161" s="335"/>
      <c r="BL161" s="335"/>
      <c r="BM161" s="335"/>
      <c r="BN161" s="335"/>
      <c r="BO161" s="335"/>
      <c r="BP161" s="335"/>
      <c r="BQ161" s="335"/>
      <c r="BR161" s="335"/>
      <c r="BS161" s="335"/>
      <c r="BT161" s="335"/>
      <c r="BU161" s="335"/>
      <c r="BV161" s="335"/>
      <c r="BW161" s="335"/>
      <c r="BX161" s="335"/>
      <c r="BY161" s="335"/>
      <c r="BZ161" s="335"/>
      <c r="CA161" s="335"/>
      <c r="CB161" s="335"/>
      <c r="CC161" s="335"/>
      <c r="CD161" s="335"/>
      <c r="CE161" s="335"/>
      <c r="CF161" s="335"/>
      <c r="CG161" s="335"/>
      <c r="CH161" s="335"/>
      <c r="CI161" s="335"/>
      <c r="CJ161" s="335"/>
      <c r="CK161" s="335"/>
      <c r="CL161" s="335"/>
      <c r="CM161" s="335"/>
      <c r="CN161" s="335"/>
      <c r="CO161" s="335"/>
      <c r="CP161" s="335"/>
      <c r="CQ161" s="335"/>
      <c r="CR161" s="335"/>
      <c r="CS161" s="335"/>
      <c r="CT161" s="335"/>
      <c r="CU161" s="385"/>
      <c r="CV161" s="189"/>
    </row>
    <row r="162" spans="1:100" ht="229.5" outlineLevel="1" x14ac:dyDescent="0.2">
      <c r="A162" s="3" t="s">
        <v>66</v>
      </c>
      <c r="B162" s="25" t="str">
        <f>B22</f>
        <v>State Funded Program #</v>
      </c>
      <c r="C162" s="76"/>
      <c r="D162" s="59" t="str">
        <f t="shared" ref="D162:AH162" si="168">D22</f>
        <v>0102.000000.000  6000.050100.000  6000.051000.000  6000.220100.000  6000.221000.000 6000.222000.000 6000.250100.000  6000.400101.000  6000.400500.000  6000.600100.000  6000.600500.000 6001.120100.000</v>
      </c>
      <c r="E162" s="59" t="str">
        <f t="shared" si="168"/>
        <v xml:space="preserve">9800.740000X000 9802.720000X000 9803.510000X000 9803.510000X000 9803.520000X000 9803.750000X000 9804.650000X000 9808.380000X000 9808.390000X000 9809.360000X000 9809.370000X000 9810.320000X000 9811.230000X000 9811.241000X000 9811.410000X000 9812.250000X000 9812.400000X000 9815.310000X000  </v>
      </c>
      <c r="F162" s="59" t="str">
        <f t="shared" si="168"/>
        <v>6000.250700.000   6000.600100.000</v>
      </c>
      <c r="G162" s="59" t="str">
        <f t="shared" si="168"/>
        <v xml:space="preserve">6000.050100.000 6000.051000.000  6000.140100.000 6000.220100.000  6000.220500.000  6000.221000.000  6000.221500.000   6000.222000.000  6000.250100.000  6000.250700.000  6000.251000.000  6000.400101.000   6000.400500.000  6000.600100.000  6000.600500.000 6000.601000.000 6001.120100.000   </v>
      </c>
      <c r="H162" s="59" t="str">
        <f t="shared" si="168"/>
        <v>9900.000000.000</v>
      </c>
      <c r="I162" s="59" t="str">
        <f t="shared" si="168"/>
        <v>9900.000000.000</v>
      </c>
      <c r="J162" s="59" t="str">
        <f t="shared" si="168"/>
        <v>9900.000000.000</v>
      </c>
      <c r="K162" s="59" t="str">
        <f t="shared" si="168"/>
        <v>0102.000000.000</v>
      </c>
      <c r="L162" s="59" t="str">
        <f t="shared" si="168"/>
        <v>6001.120100.000</v>
      </c>
      <c r="M162" s="59" t="str">
        <f t="shared" si="168"/>
        <v xml:space="preserve">6000.141000.000   6000.220100.000   6000.221500.000   6000.250100.000   6000.400101.000 </v>
      </c>
      <c r="N162" s="59" t="str">
        <f t="shared" si="168"/>
        <v>0102.000000.000  6000.050100.000   6000.050500.000   6000.051000.000   6000.220100.000   6000.220500.000   6000.221000.000   6000.221500.000  6000.222000.000  6000.250100.000  6000.251000.000</v>
      </c>
      <c r="O162" s="59" t="str">
        <f t="shared" si="168"/>
        <v>6000.250100.000 6000.251000.000</v>
      </c>
      <c r="P162" s="59" t="str">
        <f t="shared" si="168"/>
        <v>6000.250100.000 6000.251000.000</v>
      </c>
      <c r="Q162" s="59" t="str">
        <f t="shared" si="168"/>
        <v>6000.250100.000 6000.251000.000</v>
      </c>
      <c r="R162" s="59" t="str">
        <f t="shared" si="168"/>
        <v>6000.250100.000</v>
      </c>
      <c r="S162" s="59" t="str">
        <f t="shared" si="168"/>
        <v xml:space="preserve">6000.250100.000   6000.251000.000 </v>
      </c>
      <c r="T162" s="59" t="str">
        <f t="shared" si="168"/>
        <v>6000.250100.000</v>
      </c>
      <c r="U162" s="59" t="str">
        <f t="shared" si="168"/>
        <v>6000.14100.000</v>
      </c>
      <c r="V162" s="59" t="str">
        <f t="shared" si="168"/>
        <v>6000.050500.000</v>
      </c>
      <c r="W162" s="59" t="str">
        <f t="shared" si="168"/>
        <v xml:space="preserve">0102.000000.000  6000.050100.000   6000.051000.000 </v>
      </c>
      <c r="X162" s="59" t="str">
        <f t="shared" si="168"/>
        <v>0102.000000.000</v>
      </c>
      <c r="Y162" s="59" t="str">
        <f t="shared" si="168"/>
        <v>6001.120100.000  6000.120500.000</v>
      </c>
      <c r="Z162" s="59" t="str">
        <f t="shared" si="168"/>
        <v>0102.000000.000    6000.050100.000   6000.050500.000 6000.051000.000  6001.120100.000</v>
      </c>
      <c r="AA162" s="59" t="str">
        <f t="shared" si="168"/>
        <v>6000.051000.000</v>
      </c>
      <c r="AB162" s="59" t="str">
        <f t="shared" si="168"/>
        <v>0102.000000.000</v>
      </c>
      <c r="AC162" s="59" t="str">
        <f t="shared" si="168"/>
        <v xml:space="preserve">6000.140500.000  </v>
      </c>
      <c r="AD162" s="59" t="str">
        <f t="shared" si="168"/>
        <v>0102.000000.000  6000.140100.000</v>
      </c>
      <c r="AE162" s="59" t="str">
        <f t="shared" si="168"/>
        <v>6000.140500.000</v>
      </c>
      <c r="AF162" s="59" t="str">
        <f t="shared" si="168"/>
        <v>0102.000000.000</v>
      </c>
      <c r="AG162" s="59" t="str">
        <f t="shared" si="168"/>
        <v>0102.000000.000    6000.120500.000</v>
      </c>
      <c r="AH162" s="59" t="str">
        <f t="shared" si="168"/>
        <v>6000.120500.000</v>
      </c>
      <c r="AI162" s="59" t="str">
        <f t="shared" ref="AI162:BN162" si="169">AI22</f>
        <v>0102.000000.000   6000.051000.000</v>
      </c>
      <c r="AJ162" s="59" t="str">
        <f t="shared" si="169"/>
        <v>6000.400101.000  6000.400500.000</v>
      </c>
      <c r="AK162" s="59" t="str">
        <f t="shared" si="169"/>
        <v>6000.120500.000</v>
      </c>
      <c r="AL162" s="59" t="str">
        <f t="shared" si="169"/>
        <v>6000.600100.000  6000.600500.000</v>
      </c>
      <c r="AM162" s="59" t="str">
        <f t="shared" si="169"/>
        <v>6000.600100.000</v>
      </c>
      <c r="AN162" s="59" t="str">
        <f t="shared" si="169"/>
        <v>6000.600100.000</v>
      </c>
      <c r="AO162" s="59" t="str">
        <f t="shared" si="169"/>
        <v>6000.600100.000</v>
      </c>
      <c r="AP162" s="59" t="str">
        <f t="shared" si="169"/>
        <v>6000.600100.000</v>
      </c>
      <c r="AQ162" s="59" t="str">
        <f t="shared" si="169"/>
        <v>6000.600100.000</v>
      </c>
      <c r="AR162" s="59" t="str">
        <f t="shared" si="169"/>
        <v>6000.601000.000</v>
      </c>
      <c r="AS162" s="59" t="str">
        <f t="shared" si="169"/>
        <v>6000.601000.000</v>
      </c>
      <c r="AT162" s="59" t="str">
        <f t="shared" si="169"/>
        <v>6000.601000.000</v>
      </c>
      <c r="AU162" s="59" t="str">
        <f t="shared" si="169"/>
        <v>6000.601000.000</v>
      </c>
      <c r="AV162" s="59" t="str">
        <f t="shared" si="169"/>
        <v>6000.600100.000</v>
      </c>
      <c r="AW162" s="59" t="str">
        <f t="shared" si="169"/>
        <v>6000.400101.000  6000.400102X000  6000.400500.000</v>
      </c>
      <c r="AX162" s="59" t="str">
        <f t="shared" si="169"/>
        <v>6000.601000.000</v>
      </c>
      <c r="AY162" s="59" t="str">
        <f t="shared" si="169"/>
        <v>0102.000000.000</v>
      </c>
      <c r="AZ162" s="59" t="str">
        <f t="shared" si="169"/>
        <v>6000.051000.000 6000.400101.000  6000.400500.000</v>
      </c>
      <c r="BA162" s="59" t="str">
        <f t="shared" si="169"/>
        <v>6000.120500.000 6000.400101.000  6000.400500.000</v>
      </c>
      <c r="BB162" s="59" t="str">
        <f t="shared" si="169"/>
        <v xml:space="preserve"> 6000.220100.000 6000.400101.000  6000.400500.000</v>
      </c>
      <c r="BC162" s="59" t="str">
        <f t="shared" si="169"/>
        <v>6000.400101.000  6000.400500.000</v>
      </c>
      <c r="BD162" s="184" t="str">
        <f t="shared" si="169"/>
        <v xml:space="preserve">6000.220100.000  6000.220500.000  6000.221000.000  6000.221500.000   6000.222000.000  </v>
      </c>
      <c r="BE162" s="59" t="str">
        <f t="shared" si="169"/>
        <v>6000.220500.000</v>
      </c>
      <c r="BF162" s="59" t="str">
        <f t="shared" si="169"/>
        <v xml:space="preserve">6000.220100.000 </v>
      </c>
      <c r="BG162" s="59" t="str">
        <f t="shared" si="169"/>
        <v>6000.220100.000</v>
      </c>
      <c r="BH162" s="59" t="str">
        <f t="shared" si="169"/>
        <v>6000.221500.000</v>
      </c>
      <c r="BI162" s="59" t="str">
        <f t="shared" si="169"/>
        <v xml:space="preserve">6000.220100.000   6000.221500.000 </v>
      </c>
      <c r="BJ162" s="59" t="str">
        <f t="shared" si="169"/>
        <v>6000.220500.000</v>
      </c>
      <c r="BK162" s="59" t="str">
        <f t="shared" si="169"/>
        <v>6000.220500.000</v>
      </c>
      <c r="BL162" s="59" t="str">
        <f t="shared" si="169"/>
        <v>6000.221000.000</v>
      </c>
      <c r="BM162" s="59" t="str">
        <f t="shared" si="169"/>
        <v>6000.220100.000   6000.221500.000</v>
      </c>
      <c r="BN162" s="59" t="str">
        <f t="shared" si="169"/>
        <v>6000.221500.000</v>
      </c>
      <c r="BO162" s="59" t="str">
        <f t="shared" ref="BO162:CU162" si="170">BO22</f>
        <v>6000.221500.000</v>
      </c>
      <c r="BP162" s="59" t="str">
        <f t="shared" si="170"/>
        <v>6000.221500.000</v>
      </c>
      <c r="BQ162" s="59" t="str">
        <f t="shared" si="170"/>
        <v>6000.221500.000</v>
      </c>
      <c r="BR162" s="59" t="str">
        <f t="shared" si="170"/>
        <v>6000.221500.000</v>
      </c>
      <c r="BS162" s="59" t="str">
        <f t="shared" si="170"/>
        <v>6000.220100.000</v>
      </c>
      <c r="BT162" s="59" t="str">
        <f t="shared" si="170"/>
        <v>6000.220100.000</v>
      </c>
      <c r="BU162" s="59" t="str">
        <f t="shared" si="170"/>
        <v>6000.221500.000</v>
      </c>
      <c r="BV162" s="59" t="str">
        <f t="shared" si="170"/>
        <v>6000.221500.000</v>
      </c>
      <c r="BW162" s="59" t="str">
        <f t="shared" si="170"/>
        <v>6000.601000.000</v>
      </c>
      <c r="BX162" s="59" t="str">
        <f t="shared" si="170"/>
        <v>6000.220100.000   6000.221500.000</v>
      </c>
      <c r="BY162" s="59" t="str">
        <f t="shared" si="170"/>
        <v>6000.221500.000</v>
      </c>
      <c r="BZ162" s="59" t="str">
        <f t="shared" si="170"/>
        <v>6000.221500.000</v>
      </c>
      <c r="CA162" s="59" t="str">
        <f t="shared" si="170"/>
        <v>6000.221500.000</v>
      </c>
      <c r="CB162" s="59" t="str">
        <f t="shared" si="170"/>
        <v>6000.221500.000</v>
      </c>
      <c r="CC162" s="59" t="str">
        <f t="shared" si="170"/>
        <v>6000.220100.000</v>
      </c>
      <c r="CD162" s="59" t="str">
        <f t="shared" si="170"/>
        <v xml:space="preserve">6000.220100.000 </v>
      </c>
      <c r="CE162" s="59" t="str">
        <f t="shared" si="170"/>
        <v>6000.221500.000</v>
      </c>
      <c r="CF162" s="59" t="str">
        <f t="shared" si="170"/>
        <v>6000.221500.000</v>
      </c>
      <c r="CG162" s="59" t="str">
        <f t="shared" si="170"/>
        <v>6000.220500.000</v>
      </c>
      <c r="CH162" s="59" t="str">
        <f t="shared" si="170"/>
        <v>6000.120500.000 6000.220500.000</v>
      </c>
      <c r="CI162" s="59" t="str">
        <f t="shared" si="170"/>
        <v>6000.220100.000  6000.221000.000</v>
      </c>
      <c r="CJ162" s="59" t="str">
        <f t="shared" si="170"/>
        <v xml:space="preserve">6000.220100.000 </v>
      </c>
      <c r="CK162" s="59" t="str">
        <f t="shared" si="170"/>
        <v>6000.220500.000</v>
      </c>
      <c r="CL162" s="59" t="str">
        <f t="shared" si="170"/>
        <v>6000.220500.000</v>
      </c>
      <c r="CM162" s="59" t="str">
        <f t="shared" si="170"/>
        <v>6000.221500.000  6000.222000.000</v>
      </c>
      <c r="CN162" s="59" t="str">
        <f t="shared" si="170"/>
        <v>6000.221500.000</v>
      </c>
      <c r="CO162" s="59" t="str">
        <f t="shared" si="170"/>
        <v xml:space="preserve">6000.220100.000 </v>
      </c>
      <c r="CP162" s="59" t="str">
        <f t="shared" si="170"/>
        <v xml:space="preserve">6000.220100.000 </v>
      </c>
      <c r="CQ162" s="59" t="str">
        <f t="shared" si="170"/>
        <v>6000.220500.000</v>
      </c>
      <c r="CR162" s="59" t="str">
        <f t="shared" si="170"/>
        <v>6000.222000.000</v>
      </c>
      <c r="CS162" s="59" t="str">
        <f t="shared" si="170"/>
        <v>6000.220500.000</v>
      </c>
      <c r="CT162" s="59" t="str">
        <f t="shared" si="170"/>
        <v xml:space="preserve">6000.220100.000 </v>
      </c>
      <c r="CU162" s="349" t="str">
        <f t="shared" si="170"/>
        <v>6000.220100.000</v>
      </c>
      <c r="CV162" s="189"/>
    </row>
    <row r="163" spans="1:100" ht="306.75" thickBot="1" x14ac:dyDescent="0.25">
      <c r="A163" s="3" t="s">
        <v>67</v>
      </c>
      <c r="B163" s="46" t="str">
        <f>B23</f>
        <v>State Funded Program Number in the General Appropriations Act  (Titles of programs in chart at end)</v>
      </c>
      <c r="C163" s="79"/>
      <c r="D163" s="80" t="str">
        <f t="shared" ref="D163:AH163" si="171">D23</f>
        <v xml:space="preserve">I.;  II.A.1.;  II.A.3.; II.B.1.; II.D.1.; II.D.3.; II.D.5.; II.E.1.;II.F.1.;  II.F.2.; II.G.1.; II. G.2.     </v>
      </c>
      <c r="E163" s="80" t="str">
        <f t="shared" si="171"/>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163" s="80" t="str">
        <f t="shared" si="171"/>
        <v xml:space="preserve"> II.E.1.; II.E.2.</v>
      </c>
      <c r="G163" s="80" t="str">
        <f t="shared" si="171"/>
        <v xml:space="preserve">I.;  II.A.1.; II.A.2.; II.A.3.; II.B.2.; II.D.1.; II.D.2.; II.E.1.; II.E.3.   </v>
      </c>
      <c r="H163" s="80" t="str">
        <f t="shared" si="171"/>
        <v>9942-Waddell Ctr Renovation;      9953-Chestnut Ridge Land Acq; 9950-Wateree Range Land Acq;         9946-Liberty Hill Land Acq;         9959-S Fenwick Isl Land Acq;         9966-Wateree Range Renovation</v>
      </c>
      <c r="I163" s="80" t="str">
        <f t="shared" si="171"/>
        <v xml:space="preserve">9907-Cohen Campbell Hatchery;  9942-Waddell Ctr Renovation;       9960-Murphy Isl Dike;                   9962-Cedar Isl Dike;      9963-Samworth   Dike;                              9965-Spring Stevens Hatchery; 9967-Ft Johnson Boat Slip;          9968-Ft Johnson Roof Replacement        </v>
      </c>
      <c r="J163" s="80" t="str">
        <f t="shared" si="171"/>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163" s="80" t="str">
        <f t="shared" si="171"/>
        <v>I.</v>
      </c>
      <c r="L163" s="80" t="str">
        <f t="shared" si="171"/>
        <v>II.B.1.</v>
      </c>
      <c r="M163" s="80" t="str">
        <f t="shared" si="171"/>
        <v>II.C.3.;  II.D.1.; II.D.4.; II.E.1.;  II.F.1.</v>
      </c>
      <c r="N163" s="80" t="str">
        <f t="shared" si="171"/>
        <v xml:space="preserve">I.;  II.A.1.; II.A.2.; II.A.3.; II.B.2.; II.D.1.; II.D.2.; II.E.1.; II.E.3.   </v>
      </c>
      <c r="O163" s="80" t="str">
        <f t="shared" si="171"/>
        <v>II.E.1.</v>
      </c>
      <c r="P163" s="80" t="str">
        <f t="shared" si="171"/>
        <v>II.E.1.;   II.E.3.</v>
      </c>
      <c r="Q163" s="80" t="str">
        <f t="shared" si="171"/>
        <v>II.E.1.;   II.E.3.</v>
      </c>
      <c r="R163" s="80" t="str">
        <f t="shared" si="171"/>
        <v xml:space="preserve">II.E.1. </v>
      </c>
      <c r="S163" s="80" t="str">
        <f t="shared" si="171"/>
        <v>II.E.1.; II.E.3.</v>
      </c>
      <c r="T163" s="80" t="str">
        <f t="shared" si="171"/>
        <v>II.E.1.</v>
      </c>
      <c r="U163" s="80" t="str">
        <f t="shared" si="171"/>
        <v>II.C.3.</v>
      </c>
      <c r="V163" s="80" t="str">
        <f t="shared" si="171"/>
        <v>II.A.2.</v>
      </c>
      <c r="W163" s="80" t="str">
        <f t="shared" si="171"/>
        <v>I.; II.A.1.; II.A.3.</v>
      </c>
      <c r="X163" s="80" t="str">
        <f t="shared" si="171"/>
        <v>I.</v>
      </c>
      <c r="Y163" s="80" t="str">
        <f t="shared" si="171"/>
        <v>II.B.1</v>
      </c>
      <c r="Z163" s="80" t="str">
        <f t="shared" si="171"/>
        <v>I.; II.A.1.; II.A.2.; II.A.3.; II.B.1.</v>
      </c>
      <c r="AA163" s="80" t="str">
        <f t="shared" si="171"/>
        <v>II.A.3.</v>
      </c>
      <c r="AB163" s="80" t="str">
        <f t="shared" si="171"/>
        <v>I.</v>
      </c>
      <c r="AC163" s="80" t="str">
        <f t="shared" si="171"/>
        <v>II.C.2.</v>
      </c>
      <c r="AD163" s="80" t="str">
        <f t="shared" si="171"/>
        <v>II.C.1.</v>
      </c>
      <c r="AE163" s="80" t="str">
        <f t="shared" si="171"/>
        <v>II.C.2.</v>
      </c>
      <c r="AF163" s="80" t="str">
        <f t="shared" si="171"/>
        <v>I.</v>
      </c>
      <c r="AG163" s="80" t="str">
        <f t="shared" si="171"/>
        <v>I.; II.B.2.</v>
      </c>
      <c r="AH163" s="80" t="str">
        <f t="shared" si="171"/>
        <v>II.B.2.</v>
      </c>
      <c r="AI163" s="80" t="str">
        <f t="shared" ref="AI163:BN163" si="172">AI23</f>
        <v>I.; II.A.3.</v>
      </c>
      <c r="AJ163" s="80" t="str">
        <f t="shared" si="172"/>
        <v xml:space="preserve"> II.F.1.;  II.F.2.</v>
      </c>
      <c r="AK163" s="80" t="str">
        <f t="shared" si="172"/>
        <v>II.B.2.</v>
      </c>
      <c r="AL163" s="80" t="str">
        <f t="shared" si="172"/>
        <v>II.G.1.; II. G.2.</v>
      </c>
      <c r="AM163" s="80" t="str">
        <f t="shared" si="172"/>
        <v>II.G.1.</v>
      </c>
      <c r="AN163" s="80" t="str">
        <f t="shared" si="172"/>
        <v>II.G.1.</v>
      </c>
      <c r="AO163" s="80" t="str">
        <f t="shared" si="172"/>
        <v>II.G.1.</v>
      </c>
      <c r="AP163" s="80" t="str">
        <f t="shared" si="172"/>
        <v>II.G.1.</v>
      </c>
      <c r="AQ163" s="80" t="str">
        <f t="shared" si="172"/>
        <v>II.G.1.</v>
      </c>
      <c r="AR163" s="80" t="str">
        <f t="shared" si="172"/>
        <v>II.G.3.</v>
      </c>
      <c r="AS163" s="80" t="str">
        <f t="shared" si="172"/>
        <v>II.G.3.</v>
      </c>
      <c r="AT163" s="80" t="str">
        <f t="shared" si="172"/>
        <v>II.G.3.</v>
      </c>
      <c r="AU163" s="80" t="str">
        <f t="shared" si="172"/>
        <v>II.G.3.</v>
      </c>
      <c r="AV163" s="80" t="str">
        <f t="shared" si="172"/>
        <v>II.G.1.</v>
      </c>
      <c r="AW163" s="80" t="str">
        <f t="shared" si="172"/>
        <v xml:space="preserve">II.F.1.; II.F.2.  </v>
      </c>
      <c r="AX163" s="80" t="str">
        <f t="shared" si="172"/>
        <v>II.G.3.</v>
      </c>
      <c r="AY163" s="80" t="str">
        <f t="shared" si="172"/>
        <v>I.</v>
      </c>
      <c r="AZ163" s="80" t="str">
        <f t="shared" si="172"/>
        <v>II.A.3.;   II.F.1.;  II.F.2.</v>
      </c>
      <c r="BA163" s="80" t="str">
        <f t="shared" si="172"/>
        <v>II.B.2.;   II.F.1.;  II.F.2.</v>
      </c>
      <c r="BB163" s="80" t="str">
        <f t="shared" si="172"/>
        <v>II.D.1.;  II.F.1.;   II.F.2.</v>
      </c>
      <c r="BC163" s="80" t="str">
        <f t="shared" si="172"/>
        <v xml:space="preserve"> II.F.1.;  II.F.2.</v>
      </c>
      <c r="BD163" s="386" t="str">
        <f t="shared" si="172"/>
        <v xml:space="preserve">II.D.1.; II.D.2.; II.D.3.; II.D.4.; II.D.5.   </v>
      </c>
      <c r="BE163" s="80" t="str">
        <f t="shared" si="172"/>
        <v>II.D.2.</v>
      </c>
      <c r="BF163" s="80" t="str">
        <f t="shared" si="172"/>
        <v>II.D.1.</v>
      </c>
      <c r="BG163" s="80" t="str">
        <f t="shared" si="172"/>
        <v>II.D.1.</v>
      </c>
      <c r="BH163" s="80" t="str">
        <f t="shared" si="172"/>
        <v>II.D.4.</v>
      </c>
      <c r="BI163" s="80" t="str">
        <f t="shared" si="172"/>
        <v>II.D.1.   II.D.4.</v>
      </c>
      <c r="BJ163" s="80" t="str">
        <f t="shared" si="172"/>
        <v>II.D.2.</v>
      </c>
      <c r="BK163" s="80" t="str">
        <f t="shared" si="172"/>
        <v>II.D.2.</v>
      </c>
      <c r="BL163" s="80" t="str">
        <f t="shared" si="172"/>
        <v>II.D.3.</v>
      </c>
      <c r="BM163" s="80" t="str">
        <f t="shared" si="172"/>
        <v>II.D.1.; II.D.4.</v>
      </c>
      <c r="BN163" s="80" t="str">
        <f t="shared" si="172"/>
        <v>II.D.4.</v>
      </c>
      <c r="BO163" s="80" t="str">
        <f t="shared" ref="BO163:CU163" si="173">BO23</f>
        <v>II.D.4.</v>
      </c>
      <c r="BP163" s="80" t="str">
        <f t="shared" si="173"/>
        <v>II.D.4.</v>
      </c>
      <c r="BQ163" s="80" t="str">
        <f t="shared" si="173"/>
        <v>II.D.4.</v>
      </c>
      <c r="BR163" s="80" t="str">
        <f t="shared" si="173"/>
        <v>II.D.4.</v>
      </c>
      <c r="BS163" s="80" t="str">
        <f t="shared" si="173"/>
        <v>II.D.1.</v>
      </c>
      <c r="BT163" s="80" t="str">
        <f t="shared" si="173"/>
        <v>II.D.1.</v>
      </c>
      <c r="BU163" s="80" t="str">
        <f t="shared" si="173"/>
        <v>II.D.4.</v>
      </c>
      <c r="BV163" s="80" t="str">
        <f t="shared" si="173"/>
        <v>II.D.4.</v>
      </c>
      <c r="BW163" s="80" t="str">
        <f t="shared" si="173"/>
        <v>II.G.3.</v>
      </c>
      <c r="BX163" s="80" t="str">
        <f t="shared" si="173"/>
        <v>II.D.1.; II.D.4.</v>
      </c>
      <c r="BY163" s="80" t="str">
        <f t="shared" si="173"/>
        <v>II.D.4.</v>
      </c>
      <c r="BZ163" s="80" t="str">
        <f t="shared" si="173"/>
        <v>II.D.4.</v>
      </c>
      <c r="CA163" s="80" t="str">
        <f t="shared" si="173"/>
        <v>II.D.4.</v>
      </c>
      <c r="CB163" s="80" t="str">
        <f t="shared" si="173"/>
        <v>II.D.4.</v>
      </c>
      <c r="CC163" s="80" t="str">
        <f t="shared" si="173"/>
        <v>II.D.1.</v>
      </c>
      <c r="CD163" s="80" t="str">
        <f t="shared" si="173"/>
        <v>II.D.1.</v>
      </c>
      <c r="CE163" s="80" t="str">
        <f t="shared" si="173"/>
        <v>II.D.4.</v>
      </c>
      <c r="CF163" s="80" t="str">
        <f t="shared" si="173"/>
        <v>II.D.4.</v>
      </c>
      <c r="CG163" s="80" t="str">
        <f t="shared" si="173"/>
        <v>II.D.2.</v>
      </c>
      <c r="CH163" s="80" t="str">
        <f t="shared" si="173"/>
        <v>II.B.2.; II.D.2.</v>
      </c>
      <c r="CI163" s="80" t="str">
        <f t="shared" si="173"/>
        <v>II.D.1.; II.D.3.</v>
      </c>
      <c r="CJ163" s="80" t="str">
        <f t="shared" si="173"/>
        <v>II.D.1.</v>
      </c>
      <c r="CK163" s="80" t="str">
        <f t="shared" si="173"/>
        <v>II.D.2.</v>
      </c>
      <c r="CL163" s="80" t="str">
        <f t="shared" si="173"/>
        <v>II.D.2.</v>
      </c>
      <c r="CM163" s="80" t="str">
        <f t="shared" si="173"/>
        <v>II.D.4.;  II.D.5.</v>
      </c>
      <c r="CN163" s="80" t="str">
        <f t="shared" si="173"/>
        <v>II.D.4.</v>
      </c>
      <c r="CO163" s="80" t="str">
        <f t="shared" si="173"/>
        <v>II.D.1.</v>
      </c>
      <c r="CP163" s="80" t="str">
        <f t="shared" si="173"/>
        <v>II.D.1.</v>
      </c>
      <c r="CQ163" s="80" t="str">
        <f t="shared" si="173"/>
        <v>II.D.2.</v>
      </c>
      <c r="CR163" s="80" t="str">
        <f t="shared" si="173"/>
        <v>II.D.5.</v>
      </c>
      <c r="CS163" s="80" t="str">
        <f t="shared" si="173"/>
        <v>II.D.2.</v>
      </c>
      <c r="CT163" s="80" t="str">
        <f t="shared" si="173"/>
        <v>II.D.1.</v>
      </c>
      <c r="CU163" s="387" t="str">
        <f t="shared" si="173"/>
        <v>II.D.1.</v>
      </c>
      <c r="CV163" s="189"/>
    </row>
    <row r="164" spans="1:100" ht="13.5" thickBot="1" x14ac:dyDescent="0.25">
      <c r="A164" s="3"/>
      <c r="B164" s="12"/>
      <c r="C164" s="73"/>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89"/>
    </row>
    <row r="165" spans="1:100" x14ac:dyDescent="0.2">
      <c r="A165" s="3"/>
      <c r="B165" s="18" t="str">
        <f>B25</f>
        <v>Amounts Appropriated and Authorized</v>
      </c>
      <c r="C165" s="33"/>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380"/>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381"/>
      <c r="CV165" s="189"/>
    </row>
    <row r="166" spans="1:100" ht="25.5" x14ac:dyDescent="0.2">
      <c r="A166" s="3" t="s">
        <v>68</v>
      </c>
      <c r="B166" s="25" t="s">
        <v>135</v>
      </c>
      <c r="C166" s="50">
        <f>SUM(D166:DX166)</f>
        <v>380063</v>
      </c>
      <c r="D166" s="27">
        <v>380063</v>
      </c>
      <c r="E166" s="26">
        <v>0</v>
      </c>
      <c r="F166" s="26">
        <v>0</v>
      </c>
      <c r="G166" s="26">
        <v>0</v>
      </c>
      <c r="H166" s="26">
        <v>0</v>
      </c>
      <c r="I166" s="26">
        <v>0</v>
      </c>
      <c r="J166" s="26">
        <v>0</v>
      </c>
      <c r="K166" s="26">
        <v>0</v>
      </c>
      <c r="L166" s="26">
        <v>0</v>
      </c>
      <c r="M166" s="26">
        <v>0</v>
      </c>
      <c r="N166" s="26">
        <v>0</v>
      </c>
      <c r="O166" s="26">
        <v>0</v>
      </c>
      <c r="P166" s="26">
        <v>0</v>
      </c>
      <c r="Q166" s="26">
        <v>0</v>
      </c>
      <c r="R166" s="26">
        <v>0</v>
      </c>
      <c r="S166" s="26">
        <v>0</v>
      </c>
      <c r="T166" s="26">
        <v>0</v>
      </c>
      <c r="U166" s="26">
        <v>0</v>
      </c>
      <c r="V166" s="26">
        <v>0</v>
      </c>
      <c r="W166" s="26">
        <v>0</v>
      </c>
      <c r="X166" s="26">
        <v>0</v>
      </c>
      <c r="Y166" s="26">
        <v>0</v>
      </c>
      <c r="Z166" s="26">
        <v>0</v>
      </c>
      <c r="AA166" s="26">
        <v>0</v>
      </c>
      <c r="AB166" s="26">
        <v>0</v>
      </c>
      <c r="AC166" s="26">
        <v>0</v>
      </c>
      <c r="AD166" s="26">
        <v>0</v>
      </c>
      <c r="AE166" s="26">
        <v>0</v>
      </c>
      <c r="AF166" s="26">
        <v>0</v>
      </c>
      <c r="AG166" s="26">
        <v>0</v>
      </c>
      <c r="AH166" s="26">
        <v>0</v>
      </c>
      <c r="AI166" s="26">
        <v>0</v>
      </c>
      <c r="AJ166" s="26">
        <v>0</v>
      </c>
      <c r="AK166" s="26">
        <v>0</v>
      </c>
      <c r="AL166" s="26">
        <v>0</v>
      </c>
      <c r="AM166" s="26">
        <v>0</v>
      </c>
      <c r="AN166" s="26">
        <v>0</v>
      </c>
      <c r="AO166" s="26">
        <v>0</v>
      </c>
      <c r="AP166" s="26">
        <v>0</v>
      </c>
      <c r="AQ166" s="26">
        <v>0</v>
      </c>
      <c r="AR166" s="26">
        <v>0</v>
      </c>
      <c r="AS166" s="26">
        <v>0</v>
      </c>
      <c r="AT166" s="26">
        <v>0</v>
      </c>
      <c r="AU166" s="26">
        <v>0</v>
      </c>
      <c r="AV166" s="26">
        <v>0</v>
      </c>
      <c r="AW166" s="26">
        <v>0</v>
      </c>
      <c r="AX166" s="26">
        <v>0</v>
      </c>
      <c r="AY166" s="26">
        <v>0</v>
      </c>
      <c r="AZ166" s="26">
        <v>0</v>
      </c>
      <c r="BA166" s="26">
        <v>0</v>
      </c>
      <c r="BB166" s="26">
        <v>0</v>
      </c>
      <c r="BC166" s="26">
        <v>0</v>
      </c>
      <c r="BD166" s="179">
        <v>0</v>
      </c>
      <c r="BE166" s="26">
        <v>0</v>
      </c>
      <c r="BF166" s="26">
        <v>0</v>
      </c>
      <c r="BG166" s="26">
        <v>0</v>
      </c>
      <c r="BH166" s="26">
        <v>0</v>
      </c>
      <c r="BI166" s="26">
        <v>0</v>
      </c>
      <c r="BJ166" s="26">
        <v>0</v>
      </c>
      <c r="BK166" s="26">
        <v>0</v>
      </c>
      <c r="BL166" s="26">
        <v>0</v>
      </c>
      <c r="BM166" s="26">
        <v>0</v>
      </c>
      <c r="BN166" s="26">
        <v>0</v>
      </c>
      <c r="BO166" s="26">
        <v>0</v>
      </c>
      <c r="BP166" s="26">
        <v>0</v>
      </c>
      <c r="BQ166" s="26">
        <v>0</v>
      </c>
      <c r="BR166" s="26">
        <v>0</v>
      </c>
      <c r="BS166" s="26">
        <v>0</v>
      </c>
      <c r="BT166" s="26">
        <v>0</v>
      </c>
      <c r="BU166" s="26">
        <v>0</v>
      </c>
      <c r="BV166" s="26">
        <v>0</v>
      </c>
      <c r="BW166" s="26">
        <v>0</v>
      </c>
      <c r="BX166" s="26">
        <v>0</v>
      </c>
      <c r="BY166" s="26">
        <v>0</v>
      </c>
      <c r="BZ166" s="26">
        <v>0</v>
      </c>
      <c r="CA166" s="26">
        <v>0</v>
      </c>
      <c r="CB166" s="26">
        <v>0</v>
      </c>
      <c r="CC166" s="26">
        <v>0</v>
      </c>
      <c r="CD166" s="26">
        <v>0</v>
      </c>
      <c r="CE166" s="26">
        <v>0</v>
      </c>
      <c r="CF166" s="26">
        <v>0</v>
      </c>
      <c r="CG166" s="26">
        <v>0</v>
      </c>
      <c r="CH166" s="26">
        <v>0</v>
      </c>
      <c r="CI166" s="26">
        <v>0</v>
      </c>
      <c r="CJ166" s="26">
        <v>0</v>
      </c>
      <c r="CK166" s="26">
        <v>0</v>
      </c>
      <c r="CL166" s="26">
        <v>0</v>
      </c>
      <c r="CM166" s="26">
        <v>0</v>
      </c>
      <c r="CN166" s="26">
        <v>0</v>
      </c>
      <c r="CO166" s="26">
        <v>0</v>
      </c>
      <c r="CP166" s="26">
        <v>0</v>
      </c>
      <c r="CQ166" s="26">
        <v>0</v>
      </c>
      <c r="CR166" s="26">
        <v>0</v>
      </c>
      <c r="CS166" s="26">
        <v>0</v>
      </c>
      <c r="CT166" s="26">
        <v>0</v>
      </c>
      <c r="CU166" s="352">
        <v>0</v>
      </c>
      <c r="CV166" s="189"/>
    </row>
    <row r="167" spans="1:100" x14ac:dyDescent="0.2">
      <c r="A167" s="3" t="s">
        <v>69</v>
      </c>
      <c r="B167" s="25" t="s">
        <v>805</v>
      </c>
      <c r="C167" s="50">
        <f>SUM(D167:DX167)</f>
        <v>121917996.61</v>
      </c>
      <c r="D167" s="94">
        <v>28563858</v>
      </c>
      <c r="E167" s="94">
        <v>8449342</v>
      </c>
      <c r="F167" s="94">
        <v>0</v>
      </c>
      <c r="G167" s="94">
        <v>31098135</v>
      </c>
      <c r="H167" s="94">
        <f>2584158.22</f>
        <v>2584158.2200000002</v>
      </c>
      <c r="I167" s="94">
        <v>4622145.3499999996</v>
      </c>
      <c r="J167" s="94">
        <f>1866917.04</f>
        <v>1866917.04</v>
      </c>
      <c r="K167" s="94">
        <v>0</v>
      </c>
      <c r="L167" s="94">
        <v>0</v>
      </c>
      <c r="M167" s="94">
        <f>26059+108739</f>
        <v>134798</v>
      </c>
      <c r="N167" s="94">
        <v>9329055</v>
      </c>
      <c r="O167" s="94">
        <v>1763000</v>
      </c>
      <c r="P167" s="94">
        <v>1037877</v>
      </c>
      <c r="Q167" s="94">
        <v>2149117</v>
      </c>
      <c r="R167" s="94">
        <v>100000</v>
      </c>
      <c r="S167" s="94">
        <f>235000+95000</f>
        <v>330000</v>
      </c>
      <c r="T167" s="94">
        <f>220670+485000</f>
        <v>705670</v>
      </c>
      <c r="U167" s="94">
        <v>75000</v>
      </c>
      <c r="V167" s="94">
        <v>544500</v>
      </c>
      <c r="W167" s="94">
        <v>153906</v>
      </c>
      <c r="X167" s="94">
        <v>30900</v>
      </c>
      <c r="Y167" s="94">
        <v>0</v>
      </c>
      <c r="Z167" s="94">
        <v>2126518</v>
      </c>
      <c r="AA167" s="94">
        <v>230000</v>
      </c>
      <c r="AB167" s="94">
        <v>0</v>
      </c>
      <c r="AC167" s="94">
        <v>0</v>
      </c>
      <c r="AD167" s="94">
        <v>786424</v>
      </c>
      <c r="AE167" s="94">
        <f>405411+683600</f>
        <v>1089011</v>
      </c>
      <c r="AF167" s="94">
        <v>0</v>
      </c>
      <c r="AG167" s="94">
        <v>81269</v>
      </c>
      <c r="AH167" s="94">
        <v>36546</v>
      </c>
      <c r="AI167" s="94">
        <v>511284</v>
      </c>
      <c r="AJ167" s="94">
        <v>0</v>
      </c>
      <c r="AK167" s="94">
        <v>16829</v>
      </c>
      <c r="AL167" s="94">
        <v>106717</v>
      </c>
      <c r="AM167" s="94">
        <v>631648</v>
      </c>
      <c r="AN167" s="94">
        <v>121008</v>
      </c>
      <c r="AO167" s="94">
        <v>20000</v>
      </c>
      <c r="AP167" s="94">
        <v>0</v>
      </c>
      <c r="AQ167" s="94">
        <v>0</v>
      </c>
      <c r="AR167" s="94">
        <v>371881</v>
      </c>
      <c r="AS167" s="94">
        <v>930212</v>
      </c>
      <c r="AT167" s="94">
        <v>0</v>
      </c>
      <c r="AU167" s="94">
        <v>0</v>
      </c>
      <c r="AV167" s="94">
        <v>0</v>
      </c>
      <c r="AW167" s="94">
        <f>1947980+128100</f>
        <v>2076080</v>
      </c>
      <c r="AX167" s="94">
        <f>80000+3795</f>
        <v>83795</v>
      </c>
      <c r="AY167" s="94">
        <v>0</v>
      </c>
      <c r="AZ167" s="94">
        <v>2595500</v>
      </c>
      <c r="BA167" s="94">
        <v>888250</v>
      </c>
      <c r="BB167" s="94">
        <f>839868+400000</f>
        <v>1239868</v>
      </c>
      <c r="BC167" s="94">
        <f>483450+39828</f>
        <v>523278</v>
      </c>
      <c r="BD167" s="188">
        <v>1452458</v>
      </c>
      <c r="BE167" s="94">
        <v>0</v>
      </c>
      <c r="BF167" s="94">
        <f>2000355-790000</f>
        <v>1210355</v>
      </c>
      <c r="BG167" s="94">
        <f>170000+830000</f>
        <v>1000000</v>
      </c>
      <c r="BH167" s="94">
        <v>108135</v>
      </c>
      <c r="BI167" s="94">
        <v>0</v>
      </c>
      <c r="BJ167" s="94">
        <v>1105326</v>
      </c>
      <c r="BK167" s="94">
        <v>0</v>
      </c>
      <c r="BL167" s="94">
        <v>149262</v>
      </c>
      <c r="BM167" s="94">
        <v>0</v>
      </c>
      <c r="BN167" s="94">
        <v>0</v>
      </c>
      <c r="BO167" s="94">
        <v>0</v>
      </c>
      <c r="BP167" s="94">
        <v>0</v>
      </c>
      <c r="BQ167" s="94">
        <v>0</v>
      </c>
      <c r="BR167" s="94">
        <v>0</v>
      </c>
      <c r="BS167" s="94">
        <v>0</v>
      </c>
      <c r="BT167" s="94">
        <v>0</v>
      </c>
      <c r="BU167" s="94">
        <v>0</v>
      </c>
      <c r="BV167" s="94">
        <v>0</v>
      </c>
      <c r="BW167" s="94">
        <v>1645943</v>
      </c>
      <c r="BX167" s="94">
        <v>786362</v>
      </c>
      <c r="BY167" s="94">
        <v>35369</v>
      </c>
      <c r="BZ167" s="94">
        <v>0</v>
      </c>
      <c r="CA167" s="94">
        <f>16682+58320</f>
        <v>75002</v>
      </c>
      <c r="CB167" s="94">
        <f>109526+100500</f>
        <v>210026</v>
      </c>
      <c r="CC167" s="94">
        <v>10000</v>
      </c>
      <c r="CD167" s="94">
        <v>112315</v>
      </c>
      <c r="CE167" s="94">
        <v>246407</v>
      </c>
      <c r="CF167" s="94">
        <v>191359</v>
      </c>
      <c r="CG167" s="94">
        <v>339057</v>
      </c>
      <c r="CH167" s="94">
        <f>926037+443950</f>
        <v>1369987</v>
      </c>
      <c r="CI167" s="94">
        <f>2203137-443950-64000-35500-21000</f>
        <v>1638687</v>
      </c>
      <c r="CJ167" s="94">
        <v>1636956</v>
      </c>
      <c r="CK167" s="94">
        <f>35000+64000</f>
        <v>99000</v>
      </c>
      <c r="CL167" s="94">
        <f>162700+35500</f>
        <v>198200</v>
      </c>
      <c r="CM167" s="94">
        <v>102032</v>
      </c>
      <c r="CN167" s="94">
        <v>0</v>
      </c>
      <c r="CO167" s="94">
        <v>0</v>
      </c>
      <c r="CP167" s="94">
        <v>16161</v>
      </c>
      <c r="CQ167" s="94">
        <v>50000</v>
      </c>
      <c r="CR167" s="94">
        <f>104101+21000</f>
        <v>125101</v>
      </c>
      <c r="CS167" s="94">
        <v>0</v>
      </c>
      <c r="CT167" s="94">
        <v>0</v>
      </c>
      <c r="CU167" s="382"/>
      <c r="CV167" s="189"/>
    </row>
    <row r="168" spans="1:100" ht="25.5" x14ac:dyDescent="0.2">
      <c r="A168" s="3" t="s">
        <v>70</v>
      </c>
      <c r="B168" s="39" t="s">
        <v>40</v>
      </c>
      <c r="C168" s="51">
        <f>SUM(D168:DX168)</f>
        <v>122298059.61</v>
      </c>
      <c r="D168" s="29">
        <f>SUM(D166:D167)</f>
        <v>28943921</v>
      </c>
      <c r="E168" s="29">
        <f t="shared" ref="E168" si="174">SUM(E166:E167)</f>
        <v>8449342</v>
      </c>
      <c r="F168" s="29">
        <f t="shared" ref="F168:H168" si="175">SUM(F166:F167)</f>
        <v>0</v>
      </c>
      <c r="G168" s="29">
        <f t="shared" si="175"/>
        <v>31098135</v>
      </c>
      <c r="H168" s="29">
        <f t="shared" si="175"/>
        <v>2584158.2200000002</v>
      </c>
      <c r="I168" s="29">
        <f>SUM(I166:I167)</f>
        <v>4622145.3499999996</v>
      </c>
      <c r="J168" s="29">
        <f>SUM(J166:J167)</f>
        <v>1866917.04</v>
      </c>
      <c r="K168" s="29">
        <f>SUM(K166:K167)</f>
        <v>0</v>
      </c>
      <c r="L168" s="29">
        <f t="shared" ref="L168" si="176">SUM(L166:L167)</f>
        <v>0</v>
      </c>
      <c r="M168" s="29">
        <f>SUM(M166:M167)</f>
        <v>134798</v>
      </c>
      <c r="N168" s="29">
        <f>SUM(N166:N167)</f>
        <v>9329055</v>
      </c>
      <c r="O168" s="29">
        <f t="shared" ref="O168:BG168" si="177">SUM(O166:O167)</f>
        <v>1763000</v>
      </c>
      <c r="P168" s="29">
        <f t="shared" ref="P168:U168" si="178">SUM(P166:P167)</f>
        <v>1037877</v>
      </c>
      <c r="Q168" s="29">
        <f t="shared" si="178"/>
        <v>2149117</v>
      </c>
      <c r="R168" s="29">
        <f t="shared" si="178"/>
        <v>100000</v>
      </c>
      <c r="S168" s="29">
        <f t="shared" si="178"/>
        <v>330000</v>
      </c>
      <c r="T168" s="29">
        <f t="shared" si="178"/>
        <v>705670</v>
      </c>
      <c r="U168" s="29">
        <f t="shared" si="178"/>
        <v>75000</v>
      </c>
      <c r="V168" s="29">
        <f t="shared" si="177"/>
        <v>544500</v>
      </c>
      <c r="W168" s="29">
        <f t="shared" ref="W168:AH168" si="179">SUM(W166:W167)</f>
        <v>153906</v>
      </c>
      <c r="X168" s="29">
        <f t="shared" si="179"/>
        <v>30900</v>
      </c>
      <c r="Y168" s="29">
        <f t="shared" si="179"/>
        <v>0</v>
      </c>
      <c r="Z168" s="29">
        <f t="shared" si="179"/>
        <v>2126518</v>
      </c>
      <c r="AA168" s="29">
        <f t="shared" si="179"/>
        <v>230000</v>
      </c>
      <c r="AB168" s="29">
        <f t="shared" si="179"/>
        <v>0</v>
      </c>
      <c r="AC168" s="29">
        <f t="shared" si="179"/>
        <v>0</v>
      </c>
      <c r="AD168" s="29">
        <f t="shared" si="179"/>
        <v>786424</v>
      </c>
      <c r="AE168" s="29">
        <f t="shared" si="179"/>
        <v>1089011</v>
      </c>
      <c r="AF168" s="29">
        <f t="shared" si="179"/>
        <v>0</v>
      </c>
      <c r="AG168" s="29">
        <f t="shared" si="179"/>
        <v>81269</v>
      </c>
      <c r="AH168" s="29">
        <f t="shared" si="179"/>
        <v>36546</v>
      </c>
      <c r="AI168" s="29">
        <f>SUM(AI166:AI167)</f>
        <v>511284</v>
      </c>
      <c r="AJ168" s="29">
        <f>SUM(AJ166:AJ167)</f>
        <v>0</v>
      </c>
      <c r="AK168" s="29">
        <f>SUM(AK166:AK167)</f>
        <v>16829</v>
      </c>
      <c r="AL168" s="29">
        <f t="shared" si="177"/>
        <v>106717</v>
      </c>
      <c r="AM168" s="29">
        <f>SUM(AM166:AM167)</f>
        <v>631648</v>
      </c>
      <c r="AN168" s="29">
        <f>SUM(AN166:AN167)</f>
        <v>121008</v>
      </c>
      <c r="AO168" s="29">
        <f>SUM(AO166:AO167)</f>
        <v>20000</v>
      </c>
      <c r="AP168" s="29">
        <f t="shared" ref="AP168" si="180">SUM(AP166:AP167)</f>
        <v>0</v>
      </c>
      <c r="AQ168" s="29">
        <f t="shared" ref="AQ168:AX168" si="181">SUM(AQ166:AQ167)</f>
        <v>0</v>
      </c>
      <c r="AR168" s="29">
        <f t="shared" si="181"/>
        <v>371881</v>
      </c>
      <c r="AS168" s="29">
        <f t="shared" si="181"/>
        <v>930212</v>
      </c>
      <c r="AT168" s="29">
        <f t="shared" si="181"/>
        <v>0</v>
      </c>
      <c r="AU168" s="29">
        <f t="shared" si="181"/>
        <v>0</v>
      </c>
      <c r="AV168" s="29">
        <f t="shared" si="181"/>
        <v>0</v>
      </c>
      <c r="AW168" s="29">
        <f t="shared" si="181"/>
        <v>2076080</v>
      </c>
      <c r="AX168" s="29">
        <f t="shared" si="181"/>
        <v>83795</v>
      </c>
      <c r="AY168" s="29">
        <f t="shared" ref="AY168" si="182">SUM(AY166:AY167)</f>
        <v>0</v>
      </c>
      <c r="AZ168" s="29">
        <f t="shared" ref="AZ168" si="183">SUM(AZ166:AZ167)</f>
        <v>2595500</v>
      </c>
      <c r="BA168" s="29">
        <f t="shared" ref="BA168:BB168" si="184">SUM(BA166:BA167)</f>
        <v>888250</v>
      </c>
      <c r="BB168" s="29">
        <f t="shared" si="184"/>
        <v>1239868</v>
      </c>
      <c r="BC168" s="29">
        <f>SUM(BC166:BC167)</f>
        <v>523278</v>
      </c>
      <c r="BD168" s="180">
        <f>SUM(BD166:BD167)</f>
        <v>1452458</v>
      </c>
      <c r="BE168" s="29">
        <f>SUM(BE166:BE167)</f>
        <v>0</v>
      </c>
      <c r="BF168" s="29">
        <f t="shared" si="177"/>
        <v>1210355</v>
      </c>
      <c r="BG168" s="29">
        <f t="shared" si="177"/>
        <v>1000000</v>
      </c>
      <c r="BH168" s="29">
        <f t="shared" ref="BH168:BI168" si="185">SUM(BH166:BH167)</f>
        <v>108135</v>
      </c>
      <c r="BI168" s="29">
        <f t="shared" si="185"/>
        <v>0</v>
      </c>
      <c r="BJ168" s="29">
        <f>SUM(BJ166:BJ167)</f>
        <v>1105326</v>
      </c>
      <c r="BK168" s="29">
        <f>SUM(BK166:BK167)</f>
        <v>0</v>
      </c>
      <c r="BL168" s="29">
        <f t="shared" ref="BL168" si="186">SUM(BL166:BL167)</f>
        <v>149262</v>
      </c>
      <c r="BM168" s="29">
        <f t="shared" ref="BM168:BP168" si="187">SUM(BM166:BM167)</f>
        <v>0</v>
      </c>
      <c r="BN168" s="29">
        <f t="shared" si="187"/>
        <v>0</v>
      </c>
      <c r="BO168" s="29">
        <f t="shared" si="187"/>
        <v>0</v>
      </c>
      <c r="BP168" s="29">
        <f t="shared" si="187"/>
        <v>0</v>
      </c>
      <c r="BQ168" s="29">
        <f t="shared" ref="BQ168:BT168" si="188">SUM(BQ166:BQ167)</f>
        <v>0</v>
      </c>
      <c r="BR168" s="29">
        <f t="shared" si="188"/>
        <v>0</v>
      </c>
      <c r="BS168" s="29">
        <f t="shared" si="188"/>
        <v>0</v>
      </c>
      <c r="BT168" s="29">
        <f t="shared" si="188"/>
        <v>0</v>
      </c>
      <c r="BU168" s="29">
        <f>SUM(BU166:BU167)</f>
        <v>0</v>
      </c>
      <c r="BV168" s="29">
        <f>SUM(BV166:BV167)</f>
        <v>0</v>
      </c>
      <c r="BW168" s="29">
        <f>SUM(BW166:BW167)</f>
        <v>1645943</v>
      </c>
      <c r="BX168" s="29">
        <f>SUM(BX166:BX167)</f>
        <v>786362</v>
      </c>
      <c r="BY168" s="29">
        <f>SUM(BY166:BY167)</f>
        <v>35369</v>
      </c>
      <c r="BZ168" s="29">
        <f t="shared" ref="BZ168" si="189">SUM(BZ166:BZ167)</f>
        <v>0</v>
      </c>
      <c r="CA168" s="29">
        <f>SUM(CA166:CA167)</f>
        <v>75002</v>
      </c>
      <c r="CB168" s="29">
        <f t="shared" ref="CB168" si="190">SUM(CB166:CB167)</f>
        <v>210026</v>
      </c>
      <c r="CC168" s="29">
        <f>SUM(CC166:CC167)</f>
        <v>10000</v>
      </c>
      <c r="CD168" s="29">
        <f>SUM(CD166:CD167)</f>
        <v>112315</v>
      </c>
      <c r="CE168" s="29">
        <f t="shared" ref="CE168" si="191">SUM(CE166:CE167)</f>
        <v>246407</v>
      </c>
      <c r="CF168" s="29">
        <f>SUM(CF166:CF167)</f>
        <v>191359</v>
      </c>
      <c r="CG168" s="29">
        <f t="shared" ref="CG168" si="192">SUM(CG166:CG167)</f>
        <v>339057</v>
      </c>
      <c r="CH168" s="29">
        <f t="shared" ref="CH168:CK168" si="193">SUM(CH166:CH167)</f>
        <v>1369987</v>
      </c>
      <c r="CI168" s="29">
        <f t="shared" si="193"/>
        <v>1638687</v>
      </c>
      <c r="CJ168" s="29">
        <f t="shared" si="193"/>
        <v>1636956</v>
      </c>
      <c r="CK168" s="29">
        <f t="shared" si="193"/>
        <v>99000</v>
      </c>
      <c r="CL168" s="29">
        <f t="shared" ref="CL168" si="194">SUM(CL166:CL167)</f>
        <v>198200</v>
      </c>
      <c r="CM168" s="29">
        <f t="shared" ref="CM168" si="195">SUM(CM166:CM167)</f>
        <v>102032</v>
      </c>
      <c r="CN168" s="29">
        <f t="shared" ref="CN168" si="196">SUM(CN166:CN167)</f>
        <v>0</v>
      </c>
      <c r="CO168" s="29">
        <f t="shared" ref="CO168:CU168" si="197">SUM(CO166:CO167)</f>
        <v>0</v>
      </c>
      <c r="CP168" s="29">
        <f t="shared" si="197"/>
        <v>16161</v>
      </c>
      <c r="CQ168" s="29">
        <f t="shared" si="197"/>
        <v>50000</v>
      </c>
      <c r="CR168" s="29">
        <f t="shared" si="197"/>
        <v>125101</v>
      </c>
      <c r="CS168" s="29">
        <f t="shared" si="197"/>
        <v>0</v>
      </c>
      <c r="CT168" s="29">
        <f t="shared" si="197"/>
        <v>0</v>
      </c>
      <c r="CU168" s="361">
        <f t="shared" si="197"/>
        <v>0</v>
      </c>
      <c r="CV168" s="189"/>
    </row>
    <row r="169" spans="1:100" ht="25.5" x14ac:dyDescent="0.2">
      <c r="A169" s="3" t="s">
        <v>71</v>
      </c>
      <c r="B169" s="44" t="s">
        <v>806</v>
      </c>
      <c r="C169" s="49">
        <f>SUM(D169:DX169)</f>
        <v>1483581</v>
      </c>
      <c r="D169" s="37">
        <v>0</v>
      </c>
      <c r="E169" s="37">
        <v>0</v>
      </c>
      <c r="F169" s="37">
        <v>0</v>
      </c>
      <c r="G169" s="37">
        <v>0</v>
      </c>
      <c r="H169" s="37">
        <f>944329+103667</f>
        <v>1047996</v>
      </c>
      <c r="I169" s="37">
        <v>0</v>
      </c>
      <c r="J169" s="37">
        <f>87670+347915</f>
        <v>435585</v>
      </c>
      <c r="K169" s="37">
        <v>0</v>
      </c>
      <c r="L169" s="37">
        <v>0</v>
      </c>
      <c r="M169" s="37">
        <v>0</v>
      </c>
      <c r="N169" s="37">
        <v>0</v>
      </c>
      <c r="O169" s="37">
        <v>0</v>
      </c>
      <c r="P169" s="37">
        <v>0</v>
      </c>
      <c r="Q169" s="37">
        <v>0</v>
      </c>
      <c r="R169" s="37">
        <v>0</v>
      </c>
      <c r="S169" s="37">
        <v>0</v>
      </c>
      <c r="T169" s="37">
        <v>0</v>
      </c>
      <c r="U169" s="37">
        <v>0</v>
      </c>
      <c r="V169" s="37">
        <v>0</v>
      </c>
      <c r="W169" s="37">
        <v>0</v>
      </c>
      <c r="X169" s="37">
        <v>0</v>
      </c>
      <c r="Y169" s="37">
        <v>0</v>
      </c>
      <c r="Z169" s="37">
        <v>0</v>
      </c>
      <c r="AA169" s="37">
        <v>0</v>
      </c>
      <c r="AB169" s="37">
        <v>0</v>
      </c>
      <c r="AC169" s="37">
        <v>0</v>
      </c>
      <c r="AD169" s="37">
        <v>0</v>
      </c>
      <c r="AE169" s="37">
        <v>0</v>
      </c>
      <c r="AF169" s="37">
        <v>0</v>
      </c>
      <c r="AG169" s="37">
        <v>0</v>
      </c>
      <c r="AH169" s="37">
        <v>0</v>
      </c>
      <c r="AI169" s="37">
        <v>0</v>
      </c>
      <c r="AJ169" s="37">
        <v>0</v>
      </c>
      <c r="AK169" s="37">
        <v>0</v>
      </c>
      <c r="AL169" s="37">
        <v>0</v>
      </c>
      <c r="AM169" s="37">
        <v>0</v>
      </c>
      <c r="AN169" s="37">
        <v>0</v>
      </c>
      <c r="AO169" s="37">
        <v>0</v>
      </c>
      <c r="AP169" s="37">
        <v>0</v>
      </c>
      <c r="AQ169" s="37">
        <v>0</v>
      </c>
      <c r="AR169" s="37">
        <v>0</v>
      </c>
      <c r="AS169" s="37">
        <v>0</v>
      </c>
      <c r="AT169" s="37">
        <v>0</v>
      </c>
      <c r="AU169" s="37">
        <v>0</v>
      </c>
      <c r="AV169" s="37">
        <v>0</v>
      </c>
      <c r="AW169" s="37">
        <v>0</v>
      </c>
      <c r="AX169" s="37">
        <v>0</v>
      </c>
      <c r="AY169" s="37">
        <v>0</v>
      </c>
      <c r="AZ169" s="37">
        <v>0</v>
      </c>
      <c r="BA169" s="37">
        <v>0</v>
      </c>
      <c r="BB169" s="37">
        <v>0</v>
      </c>
      <c r="BC169" s="37">
        <v>0</v>
      </c>
      <c r="BD169" s="182">
        <v>0</v>
      </c>
      <c r="BE169" s="37">
        <v>0</v>
      </c>
      <c r="BF169" s="37">
        <v>0</v>
      </c>
      <c r="BG169" s="37">
        <v>0</v>
      </c>
      <c r="BH169" s="37">
        <v>0</v>
      </c>
      <c r="BI169" s="37">
        <v>0</v>
      </c>
      <c r="BJ169" s="37">
        <v>0</v>
      </c>
      <c r="BK169" s="37">
        <v>0</v>
      </c>
      <c r="BL169" s="37">
        <v>0</v>
      </c>
      <c r="BM169" s="37">
        <v>0</v>
      </c>
      <c r="BN169" s="37">
        <v>0</v>
      </c>
      <c r="BO169" s="37">
        <v>0</v>
      </c>
      <c r="BP169" s="37">
        <v>0</v>
      </c>
      <c r="BQ169" s="37">
        <v>0</v>
      </c>
      <c r="BR169" s="37">
        <v>0</v>
      </c>
      <c r="BS169" s="37">
        <v>0</v>
      </c>
      <c r="BT169" s="37">
        <v>0</v>
      </c>
      <c r="BU169" s="37">
        <v>0</v>
      </c>
      <c r="BV169" s="37">
        <v>0</v>
      </c>
      <c r="BW169" s="37">
        <v>0</v>
      </c>
      <c r="BX169" s="37">
        <v>0</v>
      </c>
      <c r="BY169" s="37">
        <v>0</v>
      </c>
      <c r="BZ169" s="37">
        <v>0</v>
      </c>
      <c r="CA169" s="37">
        <v>0</v>
      </c>
      <c r="CB169" s="37">
        <v>0</v>
      </c>
      <c r="CC169" s="37">
        <v>0</v>
      </c>
      <c r="CD169" s="37">
        <v>0</v>
      </c>
      <c r="CE169" s="37">
        <v>0</v>
      </c>
      <c r="CF169" s="37">
        <v>0</v>
      </c>
      <c r="CG169" s="37">
        <v>0</v>
      </c>
      <c r="CH169" s="37">
        <v>0</v>
      </c>
      <c r="CI169" s="37">
        <v>0</v>
      </c>
      <c r="CJ169" s="37">
        <v>0</v>
      </c>
      <c r="CK169" s="37">
        <v>0</v>
      </c>
      <c r="CL169" s="37">
        <v>0</v>
      </c>
      <c r="CM169" s="37">
        <v>0</v>
      </c>
      <c r="CN169" s="37">
        <v>0</v>
      </c>
      <c r="CO169" s="37">
        <v>0</v>
      </c>
      <c r="CP169" s="37">
        <v>0</v>
      </c>
      <c r="CQ169" s="37">
        <v>0</v>
      </c>
      <c r="CR169" s="37">
        <v>0</v>
      </c>
      <c r="CS169" s="37">
        <v>0</v>
      </c>
      <c r="CT169" s="37">
        <v>0</v>
      </c>
      <c r="CU169" s="383">
        <v>0</v>
      </c>
      <c r="CV169" s="189"/>
    </row>
    <row r="170" spans="1:100" ht="26.25" thickBot="1" x14ac:dyDescent="0.25">
      <c r="A170" s="3" t="s">
        <v>72</v>
      </c>
      <c r="B170" s="45" t="s">
        <v>94</v>
      </c>
      <c r="C170" s="52">
        <f>SUM(D170:DX170)</f>
        <v>123781640.61</v>
      </c>
      <c r="D170" s="41">
        <f>SUM(D168:D169)</f>
        <v>28943921</v>
      </c>
      <c r="E170" s="41">
        <f t="shared" ref="E170" si="198">SUM(E168:E169)</f>
        <v>8449342</v>
      </c>
      <c r="F170" s="41">
        <f t="shared" ref="F170:H170" si="199">SUM(F168:F169)</f>
        <v>0</v>
      </c>
      <c r="G170" s="41">
        <f t="shared" si="199"/>
        <v>31098135</v>
      </c>
      <c r="H170" s="41">
        <f t="shared" si="199"/>
        <v>3632154.22</v>
      </c>
      <c r="I170" s="41">
        <f>SUM(I168:I169)</f>
        <v>4622145.3499999996</v>
      </c>
      <c r="J170" s="41">
        <f>SUM(J168:J169)</f>
        <v>2302502.04</v>
      </c>
      <c r="K170" s="41">
        <f>SUM(K168:K169)</f>
        <v>0</v>
      </c>
      <c r="L170" s="41">
        <f t="shared" ref="L170" si="200">SUM(L168:L169)</f>
        <v>0</v>
      </c>
      <c r="M170" s="41">
        <f>SUM(M168:M169)</f>
        <v>134798</v>
      </c>
      <c r="N170" s="41">
        <f>SUM(N168:N169)</f>
        <v>9329055</v>
      </c>
      <c r="O170" s="41">
        <f t="shared" ref="O170:BG170" si="201">SUM(O168:O169)</f>
        <v>1763000</v>
      </c>
      <c r="P170" s="41">
        <f t="shared" ref="P170:U170" si="202">SUM(P168:P169)</f>
        <v>1037877</v>
      </c>
      <c r="Q170" s="41">
        <f t="shared" si="202"/>
        <v>2149117</v>
      </c>
      <c r="R170" s="41">
        <f t="shared" si="202"/>
        <v>100000</v>
      </c>
      <c r="S170" s="41">
        <f t="shared" si="202"/>
        <v>330000</v>
      </c>
      <c r="T170" s="41">
        <f t="shared" si="202"/>
        <v>705670</v>
      </c>
      <c r="U170" s="41">
        <f t="shared" si="202"/>
        <v>75000</v>
      </c>
      <c r="V170" s="41">
        <f t="shared" si="201"/>
        <v>544500</v>
      </c>
      <c r="W170" s="41">
        <f t="shared" ref="W170:AH170" si="203">SUM(W168:W169)</f>
        <v>153906</v>
      </c>
      <c r="X170" s="41">
        <f t="shared" si="203"/>
        <v>30900</v>
      </c>
      <c r="Y170" s="41">
        <f t="shared" si="203"/>
        <v>0</v>
      </c>
      <c r="Z170" s="41">
        <f t="shared" si="203"/>
        <v>2126518</v>
      </c>
      <c r="AA170" s="41">
        <f t="shared" si="203"/>
        <v>230000</v>
      </c>
      <c r="AB170" s="41">
        <f t="shared" si="203"/>
        <v>0</v>
      </c>
      <c r="AC170" s="41">
        <f t="shared" si="203"/>
        <v>0</v>
      </c>
      <c r="AD170" s="41">
        <f t="shared" si="203"/>
        <v>786424</v>
      </c>
      <c r="AE170" s="41">
        <f t="shared" si="203"/>
        <v>1089011</v>
      </c>
      <c r="AF170" s="41">
        <f t="shared" si="203"/>
        <v>0</v>
      </c>
      <c r="AG170" s="41">
        <f t="shared" si="203"/>
        <v>81269</v>
      </c>
      <c r="AH170" s="41">
        <f t="shared" si="203"/>
        <v>36546</v>
      </c>
      <c r="AI170" s="41">
        <f>SUM(AI168:AI169)</f>
        <v>511284</v>
      </c>
      <c r="AJ170" s="41">
        <f>SUM(AJ168:AJ169)</f>
        <v>0</v>
      </c>
      <c r="AK170" s="41">
        <f>SUM(AK168:AK169)</f>
        <v>16829</v>
      </c>
      <c r="AL170" s="41">
        <f t="shared" si="201"/>
        <v>106717</v>
      </c>
      <c r="AM170" s="41">
        <f>SUM(AM168:AM169)</f>
        <v>631648</v>
      </c>
      <c r="AN170" s="41">
        <f>SUM(AN168:AN169)</f>
        <v>121008</v>
      </c>
      <c r="AO170" s="41">
        <f>SUM(AO168:AO169)</f>
        <v>20000</v>
      </c>
      <c r="AP170" s="41">
        <f t="shared" ref="AP170" si="204">SUM(AP168:AP169)</f>
        <v>0</v>
      </c>
      <c r="AQ170" s="41">
        <f t="shared" ref="AQ170:AX170" si="205">SUM(AQ168:AQ169)</f>
        <v>0</v>
      </c>
      <c r="AR170" s="41">
        <f t="shared" si="205"/>
        <v>371881</v>
      </c>
      <c r="AS170" s="41">
        <f t="shared" si="205"/>
        <v>930212</v>
      </c>
      <c r="AT170" s="41">
        <f t="shared" si="205"/>
        <v>0</v>
      </c>
      <c r="AU170" s="41">
        <f t="shared" si="205"/>
        <v>0</v>
      </c>
      <c r="AV170" s="41">
        <f t="shared" si="205"/>
        <v>0</v>
      </c>
      <c r="AW170" s="41">
        <f t="shared" si="205"/>
        <v>2076080</v>
      </c>
      <c r="AX170" s="41">
        <f t="shared" si="205"/>
        <v>83795</v>
      </c>
      <c r="AY170" s="41">
        <f t="shared" ref="AY170" si="206">SUM(AY168:AY169)</f>
        <v>0</v>
      </c>
      <c r="AZ170" s="41">
        <f t="shared" ref="AZ170" si="207">SUM(AZ168:AZ169)</f>
        <v>2595500</v>
      </c>
      <c r="BA170" s="41">
        <f t="shared" ref="BA170:BB170" si="208">SUM(BA168:BA169)</f>
        <v>888250</v>
      </c>
      <c r="BB170" s="41">
        <f t="shared" si="208"/>
        <v>1239868</v>
      </c>
      <c r="BC170" s="41">
        <f>SUM(BC168:BC169)</f>
        <v>523278</v>
      </c>
      <c r="BD170" s="354">
        <f>SUM(BD168:BD169)</f>
        <v>1452458</v>
      </c>
      <c r="BE170" s="41">
        <f>SUM(BE168:BE169)</f>
        <v>0</v>
      </c>
      <c r="BF170" s="41">
        <f t="shared" si="201"/>
        <v>1210355</v>
      </c>
      <c r="BG170" s="41">
        <f t="shared" si="201"/>
        <v>1000000</v>
      </c>
      <c r="BH170" s="41">
        <f t="shared" ref="BH170:BI170" si="209">SUM(BH168:BH169)</f>
        <v>108135</v>
      </c>
      <c r="BI170" s="41">
        <f t="shared" si="209"/>
        <v>0</v>
      </c>
      <c r="BJ170" s="41">
        <f>SUM(BJ168:BJ169)</f>
        <v>1105326</v>
      </c>
      <c r="BK170" s="41">
        <f>SUM(BK168:BK169)</f>
        <v>0</v>
      </c>
      <c r="BL170" s="41">
        <f t="shared" ref="BL170" si="210">SUM(BL168:BL169)</f>
        <v>149262</v>
      </c>
      <c r="BM170" s="41">
        <f t="shared" ref="BM170:BP170" si="211">SUM(BM168:BM169)</f>
        <v>0</v>
      </c>
      <c r="BN170" s="41">
        <f t="shared" si="211"/>
        <v>0</v>
      </c>
      <c r="BO170" s="41">
        <f t="shared" si="211"/>
        <v>0</v>
      </c>
      <c r="BP170" s="41">
        <f t="shared" si="211"/>
        <v>0</v>
      </c>
      <c r="BQ170" s="41">
        <f t="shared" ref="BQ170:BT170" si="212">SUM(BQ168:BQ169)</f>
        <v>0</v>
      </c>
      <c r="BR170" s="41">
        <f t="shared" si="212"/>
        <v>0</v>
      </c>
      <c r="BS170" s="41">
        <f t="shared" si="212"/>
        <v>0</v>
      </c>
      <c r="BT170" s="41">
        <f t="shared" si="212"/>
        <v>0</v>
      </c>
      <c r="BU170" s="41">
        <f>SUM(BU168:BU169)</f>
        <v>0</v>
      </c>
      <c r="BV170" s="41">
        <f>SUM(BV168:BV169)</f>
        <v>0</v>
      </c>
      <c r="BW170" s="41">
        <f>SUM(BW168:BW169)</f>
        <v>1645943</v>
      </c>
      <c r="BX170" s="41">
        <f>SUM(BX168:BX169)</f>
        <v>786362</v>
      </c>
      <c r="BY170" s="41">
        <f>SUM(BY168:BY169)</f>
        <v>35369</v>
      </c>
      <c r="BZ170" s="41">
        <f t="shared" ref="BZ170" si="213">SUM(BZ168:BZ169)</f>
        <v>0</v>
      </c>
      <c r="CA170" s="41">
        <f>SUM(CA168:CA169)</f>
        <v>75002</v>
      </c>
      <c r="CB170" s="41">
        <f t="shared" ref="CB170" si="214">SUM(CB168:CB169)</f>
        <v>210026</v>
      </c>
      <c r="CC170" s="41">
        <f>SUM(CC168:CC169)</f>
        <v>10000</v>
      </c>
      <c r="CD170" s="41">
        <f>SUM(CD168:CD169)</f>
        <v>112315</v>
      </c>
      <c r="CE170" s="41">
        <f t="shared" ref="CE170" si="215">SUM(CE168:CE169)</f>
        <v>246407</v>
      </c>
      <c r="CF170" s="41">
        <f>SUM(CF168:CF169)</f>
        <v>191359</v>
      </c>
      <c r="CG170" s="41">
        <f t="shared" ref="CG170" si="216">SUM(CG168:CG169)</f>
        <v>339057</v>
      </c>
      <c r="CH170" s="41">
        <f t="shared" ref="CH170:CK170" si="217">SUM(CH168:CH169)</f>
        <v>1369987</v>
      </c>
      <c r="CI170" s="41">
        <f t="shared" si="217"/>
        <v>1638687</v>
      </c>
      <c r="CJ170" s="41">
        <f t="shared" si="217"/>
        <v>1636956</v>
      </c>
      <c r="CK170" s="41">
        <f t="shared" si="217"/>
        <v>99000</v>
      </c>
      <c r="CL170" s="41">
        <f t="shared" ref="CL170" si="218">SUM(CL168:CL169)</f>
        <v>198200</v>
      </c>
      <c r="CM170" s="41">
        <f t="shared" ref="CM170" si="219">SUM(CM168:CM169)</f>
        <v>102032</v>
      </c>
      <c r="CN170" s="41">
        <f t="shared" ref="CN170" si="220">SUM(CN168:CN169)</f>
        <v>0</v>
      </c>
      <c r="CO170" s="41">
        <f t="shared" ref="CO170:CU170" si="221">SUM(CO168:CO169)</f>
        <v>0</v>
      </c>
      <c r="CP170" s="41">
        <f t="shared" si="221"/>
        <v>16161</v>
      </c>
      <c r="CQ170" s="41">
        <f t="shared" si="221"/>
        <v>50000</v>
      </c>
      <c r="CR170" s="41">
        <f t="shared" si="221"/>
        <v>125101</v>
      </c>
      <c r="CS170" s="41">
        <f t="shared" si="221"/>
        <v>0</v>
      </c>
      <c r="CT170" s="41">
        <f t="shared" si="221"/>
        <v>0</v>
      </c>
      <c r="CU170" s="345">
        <f t="shared" si="221"/>
        <v>0</v>
      </c>
      <c r="CV170" s="189"/>
    </row>
    <row r="171" spans="1:100" ht="13.5" thickBot="1" x14ac:dyDescent="0.25">
      <c r="A171" s="3"/>
      <c r="B171" s="19"/>
      <c r="C171" s="71"/>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189"/>
    </row>
    <row r="172" spans="1:100" ht="27.75" customHeight="1" x14ac:dyDescent="0.2">
      <c r="A172" s="3"/>
      <c r="B172" s="18" t="str">
        <f>B32</f>
        <v>How Spending is Tracked</v>
      </c>
      <c r="C172" s="161" t="s">
        <v>1070</v>
      </c>
      <c r="D172" s="338" t="s">
        <v>1071</v>
      </c>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c r="AJ172" s="172"/>
      <c r="AK172" s="172"/>
      <c r="AL172" s="172"/>
      <c r="AM172" s="172"/>
      <c r="AN172" s="172"/>
      <c r="AO172" s="172"/>
      <c r="AP172" s="172"/>
      <c r="AQ172" s="172"/>
      <c r="AR172" s="172"/>
      <c r="AS172" s="172"/>
      <c r="AT172" s="172"/>
      <c r="AU172" s="172"/>
      <c r="AV172" s="172"/>
      <c r="AW172" s="172"/>
      <c r="AX172" s="172"/>
      <c r="AY172" s="172"/>
      <c r="AZ172" s="172"/>
      <c r="BA172" s="172"/>
      <c r="BB172" s="172"/>
      <c r="BC172" s="172"/>
      <c r="BD172" s="376"/>
      <c r="BE172" s="172"/>
      <c r="BF172" s="172"/>
      <c r="BG172" s="172"/>
      <c r="BH172" s="172"/>
      <c r="BI172" s="172"/>
      <c r="BJ172" s="172"/>
      <c r="BK172" s="172"/>
      <c r="BL172" s="172"/>
      <c r="BM172" s="172"/>
      <c r="BN172" s="172"/>
      <c r="BO172" s="172"/>
      <c r="BP172" s="172"/>
      <c r="BQ172" s="172"/>
      <c r="BR172" s="172"/>
      <c r="BS172" s="172"/>
      <c r="BT172" s="172"/>
      <c r="BU172" s="172"/>
      <c r="BV172" s="172"/>
      <c r="BW172" s="172"/>
      <c r="BX172" s="172"/>
      <c r="BY172" s="172"/>
      <c r="BZ172" s="172"/>
      <c r="CA172" s="172"/>
      <c r="CB172" s="172"/>
      <c r="CC172" s="172"/>
      <c r="CD172" s="172"/>
      <c r="CE172" s="172"/>
      <c r="CF172" s="172"/>
      <c r="CG172" s="172"/>
      <c r="CH172" s="172"/>
      <c r="CI172" s="172"/>
      <c r="CJ172" s="172"/>
      <c r="CK172" s="172"/>
      <c r="CL172" s="172"/>
      <c r="CM172" s="172"/>
      <c r="CN172" s="172"/>
      <c r="CO172" s="172"/>
      <c r="CP172" s="172"/>
      <c r="CQ172" s="172"/>
      <c r="CR172" s="172"/>
      <c r="CS172" s="172"/>
      <c r="CT172" s="172"/>
      <c r="CU172" s="377"/>
      <c r="CV172" s="189"/>
    </row>
    <row r="173" spans="1:100" ht="13.5" thickBot="1" x14ac:dyDescent="0.25">
      <c r="A173" s="167" t="s">
        <v>73</v>
      </c>
      <c r="B173" s="66" t="str">
        <f>B33</f>
        <v>Database(s) through which expenditures are tracked</v>
      </c>
      <c r="C173" s="74"/>
      <c r="D173" s="61" t="str">
        <f t="shared" ref="D173:AH173" si="222">D33</f>
        <v>SCEIS</v>
      </c>
      <c r="E173" s="61" t="str">
        <f t="shared" si="222"/>
        <v>SCEIS</v>
      </c>
      <c r="F173" s="61" t="str">
        <f t="shared" si="222"/>
        <v>SCEIS</v>
      </c>
      <c r="G173" s="61" t="str">
        <f t="shared" si="222"/>
        <v>SCEIS, Excel</v>
      </c>
      <c r="H173" s="61" t="str">
        <f t="shared" si="222"/>
        <v>SCEIS, Excel</v>
      </c>
      <c r="I173" s="61" t="str">
        <f t="shared" si="222"/>
        <v>SCEIS</v>
      </c>
      <c r="J173" s="61" t="str">
        <f t="shared" si="222"/>
        <v>SCEIS</v>
      </c>
      <c r="K173" s="61" t="str">
        <f t="shared" si="222"/>
        <v>SCEIS</v>
      </c>
      <c r="L173" s="61" t="str">
        <f t="shared" si="222"/>
        <v>SCEIS</v>
      </c>
      <c r="M173" s="61" t="str">
        <f t="shared" si="222"/>
        <v>SCEIS</v>
      </c>
      <c r="N173" s="61" t="str">
        <f t="shared" si="222"/>
        <v>SCEIS</v>
      </c>
      <c r="O173" s="61" t="str">
        <f t="shared" si="222"/>
        <v>SCEIS</v>
      </c>
      <c r="P173" s="61" t="str">
        <f t="shared" si="222"/>
        <v>SCEIS</v>
      </c>
      <c r="Q173" s="61" t="str">
        <f t="shared" si="222"/>
        <v>SCEIS</v>
      </c>
      <c r="R173" s="61" t="str">
        <f t="shared" si="222"/>
        <v>SCEIS</v>
      </c>
      <c r="S173" s="61" t="str">
        <f t="shared" si="222"/>
        <v>SCEIS</v>
      </c>
      <c r="T173" s="61" t="str">
        <f t="shared" si="222"/>
        <v>SCEIS</v>
      </c>
      <c r="U173" s="61" t="str">
        <f t="shared" si="222"/>
        <v>SCEIS</v>
      </c>
      <c r="V173" s="61" t="str">
        <f t="shared" si="222"/>
        <v>SCEIS</v>
      </c>
      <c r="W173" s="61" t="str">
        <f t="shared" si="222"/>
        <v>SCEIS</v>
      </c>
      <c r="X173" s="61" t="str">
        <f t="shared" si="222"/>
        <v>SCEIS</v>
      </c>
      <c r="Y173" s="61" t="str">
        <f t="shared" si="222"/>
        <v>SCEIS</v>
      </c>
      <c r="Z173" s="61" t="str">
        <f t="shared" si="222"/>
        <v>SCEIS</v>
      </c>
      <c r="AA173" s="61" t="str">
        <f t="shared" si="222"/>
        <v>SCEIS</v>
      </c>
      <c r="AB173" s="61" t="str">
        <f t="shared" si="222"/>
        <v>SCEIS</v>
      </c>
      <c r="AC173" s="61" t="str">
        <f t="shared" si="222"/>
        <v>SCEIS</v>
      </c>
      <c r="AD173" s="61" t="str">
        <f t="shared" si="222"/>
        <v>SCEIS</v>
      </c>
      <c r="AE173" s="61" t="str">
        <f t="shared" si="222"/>
        <v>SCEIS</v>
      </c>
      <c r="AF173" s="61" t="str">
        <f t="shared" si="222"/>
        <v>SCEIS</v>
      </c>
      <c r="AG173" s="61" t="str">
        <f t="shared" si="222"/>
        <v>SCEIS</v>
      </c>
      <c r="AH173" s="61" t="str">
        <f t="shared" si="222"/>
        <v>SCEIS</v>
      </c>
      <c r="AI173" s="61" t="str">
        <f t="shared" ref="AI173:BN173" si="223">AI33</f>
        <v>SCEIS</v>
      </c>
      <c r="AJ173" s="61" t="str">
        <f t="shared" si="223"/>
        <v>SCEIS</v>
      </c>
      <c r="AK173" s="61" t="str">
        <f t="shared" si="223"/>
        <v>SCEIS</v>
      </c>
      <c r="AL173" s="61" t="str">
        <f t="shared" si="223"/>
        <v>SCEIS</v>
      </c>
      <c r="AM173" s="61" t="str">
        <f t="shared" si="223"/>
        <v>SCEIS</v>
      </c>
      <c r="AN173" s="61" t="str">
        <f t="shared" si="223"/>
        <v>SCEIS</v>
      </c>
      <c r="AO173" s="61" t="str">
        <f t="shared" si="223"/>
        <v>SCEIS</v>
      </c>
      <c r="AP173" s="61" t="str">
        <f t="shared" si="223"/>
        <v>SCEIS</v>
      </c>
      <c r="AQ173" s="61" t="str">
        <f t="shared" si="223"/>
        <v>SCEIS</v>
      </c>
      <c r="AR173" s="61" t="str">
        <f t="shared" si="223"/>
        <v>SCEIS</v>
      </c>
      <c r="AS173" s="61" t="str">
        <f t="shared" si="223"/>
        <v>SCEIS</v>
      </c>
      <c r="AT173" s="61" t="str">
        <f t="shared" si="223"/>
        <v>SCEIS</v>
      </c>
      <c r="AU173" s="61" t="str">
        <f t="shared" si="223"/>
        <v>SCEIS</v>
      </c>
      <c r="AV173" s="61" t="str">
        <f t="shared" si="223"/>
        <v>SCEIS</v>
      </c>
      <c r="AW173" s="61" t="str">
        <f t="shared" si="223"/>
        <v>SCEIS</v>
      </c>
      <c r="AX173" s="61" t="str">
        <f t="shared" si="223"/>
        <v>SCEIS</v>
      </c>
      <c r="AY173" s="61" t="str">
        <f t="shared" si="223"/>
        <v>SCEIS</v>
      </c>
      <c r="AZ173" s="61" t="str">
        <f t="shared" si="223"/>
        <v>SCEIS</v>
      </c>
      <c r="BA173" s="61" t="str">
        <f t="shared" si="223"/>
        <v>SCEIS</v>
      </c>
      <c r="BB173" s="61" t="str">
        <f t="shared" si="223"/>
        <v>SCEIS</v>
      </c>
      <c r="BC173" s="61" t="str">
        <f t="shared" si="223"/>
        <v>SCEIS</v>
      </c>
      <c r="BD173" s="378" t="str">
        <f t="shared" si="223"/>
        <v>SCEIS</v>
      </c>
      <c r="BE173" s="61" t="str">
        <f t="shared" si="223"/>
        <v>SCEIS</v>
      </c>
      <c r="BF173" s="61" t="str">
        <f t="shared" si="223"/>
        <v>SCEIS</v>
      </c>
      <c r="BG173" s="61" t="str">
        <f t="shared" si="223"/>
        <v>SCEIS</v>
      </c>
      <c r="BH173" s="61" t="str">
        <f t="shared" si="223"/>
        <v>SCEIS</v>
      </c>
      <c r="BI173" s="61" t="str">
        <f t="shared" si="223"/>
        <v>SCEIS</v>
      </c>
      <c r="BJ173" s="61" t="str">
        <f t="shared" si="223"/>
        <v>SCEIS</v>
      </c>
      <c r="BK173" s="61" t="str">
        <f t="shared" si="223"/>
        <v>SCEIS</v>
      </c>
      <c r="BL173" s="61" t="str">
        <f t="shared" si="223"/>
        <v>SCEIS</v>
      </c>
      <c r="BM173" s="61" t="str">
        <f t="shared" si="223"/>
        <v>SCEIS</v>
      </c>
      <c r="BN173" s="61" t="str">
        <f t="shared" si="223"/>
        <v>SCEIS</v>
      </c>
      <c r="BO173" s="61" t="str">
        <f t="shared" ref="BO173:CU173" si="224">BO33</f>
        <v>SCEIS</v>
      </c>
      <c r="BP173" s="61" t="str">
        <f t="shared" si="224"/>
        <v>SCEIS</v>
      </c>
      <c r="BQ173" s="61" t="str">
        <f t="shared" si="224"/>
        <v>SCEIS</v>
      </c>
      <c r="BR173" s="61" t="str">
        <f t="shared" si="224"/>
        <v>SCEIS</v>
      </c>
      <c r="BS173" s="61" t="str">
        <f t="shared" si="224"/>
        <v>SCEIS</v>
      </c>
      <c r="BT173" s="61" t="str">
        <f t="shared" si="224"/>
        <v>SCEIS</v>
      </c>
      <c r="BU173" s="61" t="str">
        <f t="shared" si="224"/>
        <v>SCEIS</v>
      </c>
      <c r="BV173" s="61" t="str">
        <f t="shared" si="224"/>
        <v>SCEIS</v>
      </c>
      <c r="BW173" s="61" t="str">
        <f t="shared" si="224"/>
        <v>SCEIS</v>
      </c>
      <c r="BX173" s="61" t="str">
        <f t="shared" si="224"/>
        <v>SCEIS</v>
      </c>
      <c r="BY173" s="61" t="str">
        <f t="shared" si="224"/>
        <v>SCEIS</v>
      </c>
      <c r="BZ173" s="61" t="str">
        <f t="shared" si="224"/>
        <v>SCEIS</v>
      </c>
      <c r="CA173" s="61" t="str">
        <f t="shared" si="224"/>
        <v>SCEIS</v>
      </c>
      <c r="CB173" s="61" t="str">
        <f t="shared" si="224"/>
        <v>SCEIS</v>
      </c>
      <c r="CC173" s="61" t="str">
        <f t="shared" si="224"/>
        <v>SCEIS</v>
      </c>
      <c r="CD173" s="61" t="str">
        <f t="shared" si="224"/>
        <v>SCEIS</v>
      </c>
      <c r="CE173" s="61" t="str">
        <f t="shared" si="224"/>
        <v>SCEIS</v>
      </c>
      <c r="CF173" s="61" t="str">
        <f t="shared" si="224"/>
        <v>SCEIS</v>
      </c>
      <c r="CG173" s="61" t="str">
        <f t="shared" si="224"/>
        <v>SCEIS</v>
      </c>
      <c r="CH173" s="61" t="str">
        <f t="shared" si="224"/>
        <v>SCEIS</v>
      </c>
      <c r="CI173" s="61" t="str">
        <f t="shared" si="224"/>
        <v>SCEIS</v>
      </c>
      <c r="CJ173" s="61" t="str">
        <f t="shared" si="224"/>
        <v>SCEIS</v>
      </c>
      <c r="CK173" s="61" t="str">
        <f t="shared" si="224"/>
        <v>SCEIS</v>
      </c>
      <c r="CL173" s="61" t="str">
        <f t="shared" si="224"/>
        <v>SCEIS</v>
      </c>
      <c r="CM173" s="61" t="str">
        <f t="shared" si="224"/>
        <v>SCEIS</v>
      </c>
      <c r="CN173" s="61" t="str">
        <f t="shared" si="224"/>
        <v>SCEIS</v>
      </c>
      <c r="CO173" s="61" t="str">
        <f t="shared" si="224"/>
        <v>SCEIS</v>
      </c>
      <c r="CP173" s="61" t="str">
        <f t="shared" si="224"/>
        <v>SCEIS</v>
      </c>
      <c r="CQ173" s="61" t="str">
        <f t="shared" si="224"/>
        <v>SCEIS</v>
      </c>
      <c r="CR173" s="61" t="str">
        <f t="shared" si="224"/>
        <v>SCEIS</v>
      </c>
      <c r="CS173" s="61" t="str">
        <f t="shared" si="224"/>
        <v>SCEIS</v>
      </c>
      <c r="CT173" s="61" t="str">
        <f t="shared" si="224"/>
        <v>SCEIS</v>
      </c>
      <c r="CU173" s="379" t="str">
        <f t="shared" si="224"/>
        <v>SCEIS</v>
      </c>
      <c r="CV173" s="189"/>
    </row>
    <row r="174" spans="1:100" s="105" customFormat="1" ht="13.5" thickBot="1" x14ac:dyDescent="0.25">
      <c r="A174" s="167"/>
      <c r="B174" s="165"/>
      <c r="C174" s="16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89"/>
    </row>
    <row r="175" spans="1:100" ht="39" hidden="1" outlineLevel="1" thickBot="1" x14ac:dyDescent="0.25">
      <c r="A175" s="23"/>
      <c r="B175" s="20"/>
      <c r="C175" s="14"/>
      <c r="D175" s="164" t="s">
        <v>210</v>
      </c>
      <c r="E175" s="164" t="s">
        <v>210</v>
      </c>
      <c r="F175" s="164" t="s">
        <v>210</v>
      </c>
      <c r="G175" s="164" t="s">
        <v>210</v>
      </c>
      <c r="H175" s="164" t="s">
        <v>210</v>
      </c>
      <c r="I175" s="164" t="s">
        <v>210</v>
      </c>
      <c r="J175" s="164" t="s">
        <v>210</v>
      </c>
      <c r="K175" s="164" t="s">
        <v>210</v>
      </c>
      <c r="L175" s="164" t="s">
        <v>210</v>
      </c>
      <c r="M175" s="164" t="s">
        <v>210</v>
      </c>
      <c r="N175" s="164" t="s">
        <v>210</v>
      </c>
      <c r="O175" s="156" t="s">
        <v>1062</v>
      </c>
      <c r="P175" s="156" t="s">
        <v>1062</v>
      </c>
      <c r="Q175" s="156" t="s">
        <v>1062</v>
      </c>
      <c r="R175" s="156" t="s">
        <v>1062</v>
      </c>
      <c r="S175" s="156" t="s">
        <v>1062</v>
      </c>
      <c r="T175" s="156" t="s">
        <v>1062</v>
      </c>
      <c r="U175" s="157" t="s">
        <v>1063</v>
      </c>
      <c r="V175" s="157" t="s">
        <v>1063</v>
      </c>
      <c r="W175" s="157" t="s">
        <v>1063</v>
      </c>
      <c r="X175" s="157" t="s">
        <v>1063</v>
      </c>
      <c r="Y175" s="157" t="s">
        <v>1063</v>
      </c>
      <c r="Z175" s="157" t="s">
        <v>1063</v>
      </c>
      <c r="AA175" s="157" t="s">
        <v>1063</v>
      </c>
      <c r="AB175" s="157" t="s">
        <v>1063</v>
      </c>
      <c r="AC175" s="157" t="s">
        <v>1063</v>
      </c>
      <c r="AD175" s="157" t="s">
        <v>1063</v>
      </c>
      <c r="AE175" s="157" t="s">
        <v>1063</v>
      </c>
      <c r="AF175" s="157" t="s">
        <v>1063</v>
      </c>
      <c r="AG175" s="157" t="s">
        <v>1063</v>
      </c>
      <c r="AH175" s="157" t="s">
        <v>1063</v>
      </c>
      <c r="AI175" s="157" t="s">
        <v>1063</v>
      </c>
      <c r="AJ175" s="157" t="s">
        <v>1063</v>
      </c>
      <c r="AK175" s="157" t="s">
        <v>1063</v>
      </c>
      <c r="AL175" s="158" t="s">
        <v>1064</v>
      </c>
      <c r="AM175" s="158" t="s">
        <v>1064</v>
      </c>
      <c r="AN175" s="158" t="s">
        <v>1064</v>
      </c>
      <c r="AO175" s="158" t="s">
        <v>1064</v>
      </c>
      <c r="AP175" s="158" t="s">
        <v>1064</v>
      </c>
      <c r="AQ175" s="158" t="s">
        <v>1064</v>
      </c>
      <c r="AR175" s="158" t="s">
        <v>1064</v>
      </c>
      <c r="AS175" s="158" t="s">
        <v>1064</v>
      </c>
      <c r="AT175" s="158" t="s">
        <v>1064</v>
      </c>
      <c r="AU175" s="158" t="s">
        <v>1064</v>
      </c>
      <c r="AV175" s="158" t="s">
        <v>1064</v>
      </c>
      <c r="AW175" s="159" t="s">
        <v>1065</v>
      </c>
      <c r="AX175" s="159" t="s">
        <v>1065</v>
      </c>
      <c r="AY175" s="159" t="s">
        <v>1065</v>
      </c>
      <c r="AZ175" s="159" t="s">
        <v>1065</v>
      </c>
      <c r="BA175" s="159" t="s">
        <v>1065</v>
      </c>
      <c r="BB175" s="159" t="s">
        <v>1065</v>
      </c>
      <c r="BC175" s="159" t="s">
        <v>1065</v>
      </c>
      <c r="BD175" s="160" t="s">
        <v>456</v>
      </c>
      <c r="BE175" s="160" t="s">
        <v>456</v>
      </c>
      <c r="BF175" s="160" t="s">
        <v>456</v>
      </c>
      <c r="BG175" s="160" t="s">
        <v>456</v>
      </c>
      <c r="BH175" s="160" t="s">
        <v>456</v>
      </c>
      <c r="BI175" s="160" t="s">
        <v>456</v>
      </c>
      <c r="BJ175" s="160" t="s">
        <v>456</v>
      </c>
      <c r="BK175" s="160" t="s">
        <v>456</v>
      </c>
      <c r="BL175" s="160" t="s">
        <v>456</v>
      </c>
      <c r="BM175" s="160" t="s">
        <v>456</v>
      </c>
      <c r="BN175" s="160" t="s">
        <v>456</v>
      </c>
      <c r="BO175" s="160" t="s">
        <v>456</v>
      </c>
      <c r="BP175" s="160" t="s">
        <v>456</v>
      </c>
      <c r="BQ175" s="160" t="s">
        <v>456</v>
      </c>
      <c r="BR175" s="160" t="s">
        <v>456</v>
      </c>
      <c r="BS175" s="160" t="s">
        <v>456</v>
      </c>
      <c r="BT175" s="160" t="s">
        <v>456</v>
      </c>
      <c r="BU175" s="160" t="s">
        <v>456</v>
      </c>
      <c r="BV175" s="160" t="s">
        <v>456</v>
      </c>
      <c r="BW175" s="160" t="s">
        <v>456</v>
      </c>
      <c r="BX175" s="160" t="s">
        <v>456</v>
      </c>
      <c r="BY175" s="160" t="s">
        <v>456</v>
      </c>
      <c r="BZ175" s="160" t="s">
        <v>456</v>
      </c>
      <c r="CA175" s="160" t="s">
        <v>456</v>
      </c>
      <c r="CB175" s="160" t="s">
        <v>456</v>
      </c>
      <c r="CC175" s="160" t="s">
        <v>456</v>
      </c>
      <c r="CD175" s="160" t="s">
        <v>456</v>
      </c>
      <c r="CE175" s="160" t="s">
        <v>456</v>
      </c>
      <c r="CF175" s="160" t="s">
        <v>456</v>
      </c>
      <c r="CG175" s="160" t="s">
        <v>456</v>
      </c>
      <c r="CH175" s="160" t="s">
        <v>456</v>
      </c>
      <c r="CI175" s="160" t="s">
        <v>456</v>
      </c>
      <c r="CJ175" s="160" t="s">
        <v>456</v>
      </c>
      <c r="CK175" s="160" t="s">
        <v>456</v>
      </c>
      <c r="CL175" s="160" t="s">
        <v>456</v>
      </c>
      <c r="CM175" s="160" t="s">
        <v>456</v>
      </c>
      <c r="CN175" s="160" t="s">
        <v>456</v>
      </c>
      <c r="CO175" s="160" t="s">
        <v>456</v>
      </c>
      <c r="CP175" s="160" t="s">
        <v>456</v>
      </c>
      <c r="CQ175" s="160" t="s">
        <v>456</v>
      </c>
      <c r="CR175" s="160" t="s">
        <v>456</v>
      </c>
      <c r="CS175" s="160" t="s">
        <v>456</v>
      </c>
      <c r="CT175" s="160" t="s">
        <v>456</v>
      </c>
      <c r="CU175" s="160" t="s">
        <v>456</v>
      </c>
      <c r="CV175" s="189"/>
    </row>
    <row r="176" spans="1:100" ht="25.5" collapsed="1" x14ac:dyDescent="0.2">
      <c r="A176" s="23"/>
      <c r="B176" s="21" t="s">
        <v>136</v>
      </c>
      <c r="C176" s="33"/>
      <c r="D176" s="338"/>
      <c r="E176" s="338"/>
      <c r="F176" s="338"/>
      <c r="G176" s="338"/>
      <c r="H176" s="338"/>
      <c r="I176" s="338"/>
      <c r="J176" s="338"/>
      <c r="K176" s="338"/>
      <c r="L176" s="338"/>
      <c r="M176" s="338"/>
      <c r="N176" s="338"/>
      <c r="O176" s="338"/>
      <c r="P176" s="338"/>
      <c r="Q176" s="338"/>
      <c r="R176" s="338"/>
      <c r="S176" s="338"/>
      <c r="T176" s="338"/>
      <c r="U176" s="338"/>
      <c r="V176" s="338"/>
      <c r="W176" s="338"/>
      <c r="X176" s="338"/>
      <c r="Y176" s="338"/>
      <c r="Z176" s="338"/>
      <c r="AA176" s="338"/>
      <c r="AB176" s="338"/>
      <c r="AC176" s="338"/>
      <c r="AD176" s="338"/>
      <c r="AE176" s="338"/>
      <c r="AF176" s="338"/>
      <c r="AG176" s="338"/>
      <c r="AH176" s="338"/>
      <c r="AI176" s="338"/>
      <c r="AJ176" s="338"/>
      <c r="AK176" s="338"/>
      <c r="AL176" s="338"/>
      <c r="AM176" s="338"/>
      <c r="AN176" s="338"/>
      <c r="AO176" s="338"/>
      <c r="AP176" s="338"/>
      <c r="AQ176" s="338"/>
      <c r="AR176" s="338"/>
      <c r="AS176" s="338"/>
      <c r="AT176" s="338"/>
      <c r="AU176" s="338"/>
      <c r="AV176" s="338"/>
      <c r="AW176" s="338"/>
      <c r="AX176" s="338"/>
      <c r="AY176" s="338"/>
      <c r="AZ176" s="338"/>
      <c r="BA176" s="338"/>
      <c r="BB176" s="338"/>
      <c r="BC176" s="338"/>
      <c r="BD176" s="359"/>
      <c r="BE176" s="338"/>
      <c r="BF176" s="338"/>
      <c r="BG176" s="338"/>
      <c r="BH176" s="338"/>
      <c r="BI176" s="338"/>
      <c r="BJ176" s="338"/>
      <c r="BK176" s="338"/>
      <c r="BL176" s="338"/>
      <c r="BM176" s="338"/>
      <c r="BN176" s="338"/>
      <c r="BO176" s="338"/>
      <c r="BP176" s="338"/>
      <c r="BQ176" s="338"/>
      <c r="BR176" s="338"/>
      <c r="BS176" s="338"/>
      <c r="BT176" s="338"/>
      <c r="BU176" s="338"/>
      <c r="BV176" s="338"/>
      <c r="BW176" s="338"/>
      <c r="BX176" s="338"/>
      <c r="BY176" s="338"/>
      <c r="BZ176" s="338"/>
      <c r="CA176" s="338"/>
      <c r="CB176" s="338"/>
      <c r="CC176" s="338"/>
      <c r="CD176" s="338"/>
      <c r="CE176" s="338"/>
      <c r="CF176" s="338"/>
      <c r="CG176" s="338"/>
      <c r="CH176" s="338"/>
      <c r="CI176" s="338"/>
      <c r="CJ176" s="338"/>
      <c r="CK176" s="338"/>
      <c r="CL176" s="338"/>
      <c r="CM176" s="338"/>
      <c r="CN176" s="338"/>
      <c r="CO176" s="338"/>
      <c r="CP176" s="338"/>
      <c r="CQ176" s="338"/>
      <c r="CR176" s="338"/>
      <c r="CS176" s="338"/>
      <c r="CT176" s="338"/>
      <c r="CU176" s="360"/>
      <c r="CV176" s="189"/>
    </row>
    <row r="177" spans="1:100" ht="89.25" outlineLevel="1" x14ac:dyDescent="0.2">
      <c r="A177" s="23" t="s">
        <v>74</v>
      </c>
      <c r="B177" s="34" t="str">
        <f>B37</f>
        <v>Revenue Source</v>
      </c>
      <c r="C177" s="65"/>
      <c r="D177" s="59" t="str">
        <f t="shared" ref="D177:AH177" si="225">D145</f>
        <v xml:space="preserve">General Fund </v>
      </c>
      <c r="E177" s="59" t="str">
        <f t="shared" si="225"/>
        <v xml:space="preserve">General Fund </v>
      </c>
      <c r="F177" s="59" t="str">
        <f t="shared" si="225"/>
        <v>Indirect Cost</v>
      </c>
      <c r="G177" s="59" t="str">
        <f t="shared" si="225"/>
        <v>Federal Awards</v>
      </c>
      <c r="H177" s="59" t="str">
        <f t="shared" si="225"/>
        <v>Federal Awards, construction/land acquisition</v>
      </c>
      <c r="I177" s="59" t="str">
        <f t="shared" si="225"/>
        <v>Non-recurring General Funds</v>
      </c>
      <c r="J177" s="59" t="str">
        <f t="shared" si="225"/>
        <v>Agency Funds</v>
      </c>
      <c r="K177" s="59" t="str">
        <f t="shared" si="225"/>
        <v>3 Year Hunting &amp; Fishing Licenses</v>
      </c>
      <c r="L177" s="59" t="str">
        <f t="shared" si="225"/>
        <v>Gasoline Tax Allocation</v>
      </c>
      <c r="M177" s="59" t="str">
        <f t="shared" si="225"/>
        <v>Portion of Annual Freshwater Fishing license</v>
      </c>
      <c r="N177" s="59" t="str">
        <f t="shared" si="225"/>
        <v>Hunting &amp; Fishing licenses</v>
      </c>
      <c r="O177" s="59" t="str">
        <f t="shared" si="225"/>
        <v>Operation Game Thief/Property Watch, Court Fees, Litter Fines</v>
      </c>
      <c r="P177" s="59" t="str">
        <f t="shared" si="225"/>
        <v>Cash Transfer</v>
      </c>
      <c r="Q177" s="59" t="str">
        <f t="shared" si="225"/>
        <v>Boating Fines; Boat Titling &amp; Registration Fees</v>
      </c>
      <c r="R177" s="59" t="str">
        <f t="shared" si="225"/>
        <v>Cash Transfers</v>
      </c>
      <c r="S177" s="59" t="str">
        <f t="shared" si="225"/>
        <v>Antlerless Deer Tags</v>
      </c>
      <c r="T177" s="59" t="str">
        <f t="shared" si="225"/>
        <v>Shrimp Baiting and Saltwater Licenses</v>
      </c>
      <c r="U177" s="59" t="str">
        <f t="shared" si="225"/>
        <v>Hunting &amp; Fishing Fines</v>
      </c>
      <c r="V177" s="59" t="str">
        <f t="shared" si="225"/>
        <v>Magazine Subscriptions</v>
      </c>
      <c r="W177" s="59" t="str">
        <f t="shared" si="225"/>
        <v>State GIS  Coord, Graphics Services Collector Duck Stamp</v>
      </c>
      <c r="X177" s="59" t="str">
        <f t="shared" si="225"/>
        <v>Indirect Cost Recovery non PR/DJ Grants</v>
      </c>
      <c r="Y177" s="59" t="str">
        <f t="shared" si="225"/>
        <v>Overpayments</v>
      </c>
      <c r="Z177" s="59" t="str">
        <f t="shared" si="225"/>
        <v>Boat Titling &amp; Registration Fees</v>
      </c>
      <c r="AA177" s="59" t="str">
        <f t="shared" si="225"/>
        <v>Operating Contributions</v>
      </c>
      <c r="AB177" s="59" t="str">
        <f t="shared" si="225"/>
        <v>Unrestricted Donations</v>
      </c>
      <c r="AC177" s="59" t="str">
        <f t="shared" si="225"/>
        <v>Gasoline Tax Allocation(0.13)</v>
      </c>
      <c r="AD177" s="59" t="str">
        <f t="shared" si="225"/>
        <v>Cash Transfer</v>
      </c>
      <c r="AE177" s="59" t="str">
        <f t="shared" si="225"/>
        <v>Cash Transfer</v>
      </c>
      <c r="AF177" s="59" t="str">
        <f t="shared" si="225"/>
        <v>Lifetime License Fees</v>
      </c>
      <c r="AG177" s="59" t="str">
        <f t="shared" si="225"/>
        <v>Investment income for fund 46070000</v>
      </c>
      <c r="AH177" s="59" t="str">
        <f t="shared" si="225"/>
        <v>Vendor Fee for  hunting/fishing licenses</v>
      </c>
      <c r="AI177" s="59" t="str">
        <f t="shared" ref="AI177:BN177" si="226">AI145</f>
        <v>Indirect Cost Recovery-PR/DJ Grants</v>
      </c>
      <c r="AJ177" s="59" t="str">
        <f t="shared" si="226"/>
        <v>Investment Income 3 Year SW Licenses</v>
      </c>
      <c r="AK177" s="59" t="str">
        <f t="shared" si="226"/>
        <v>Vendor Fee for   saltwater fishing licenses</v>
      </c>
      <c r="AL177" s="59" t="str">
        <f t="shared" si="226"/>
        <v>Flood Training Registrations, weather certifications, printed products</v>
      </c>
      <c r="AM177" s="59" t="str">
        <f t="shared" si="226"/>
        <v>Cash Transfer</v>
      </c>
      <c r="AN177" s="59" t="str">
        <f t="shared" si="226"/>
        <v>Cash Transfers</v>
      </c>
      <c r="AO177" s="59" t="str">
        <f t="shared" si="226"/>
        <v>Map data, Core Sample logs, mineral rock kits and GIS publications</v>
      </c>
      <c r="AP177" s="59" t="str">
        <f t="shared" si="226"/>
        <v>Revenue passed to USGS for surface water, ground water, water quality station</v>
      </c>
      <c r="AQ177" s="59" t="str">
        <f t="shared" si="226"/>
        <v>Reimbursements for aquatic weed mgmt</v>
      </c>
      <c r="AR177" s="59" t="str">
        <f t="shared" si="226"/>
        <v>Heritage Trust Fund-Document Stamp</v>
      </c>
      <c r="AS177" s="59" t="str">
        <f t="shared" si="226"/>
        <v>Heritage Trust Fund-Document Stamp</v>
      </c>
      <c r="AT177" s="59" t="str">
        <f t="shared" si="226"/>
        <v>Document Stamp Tax portion</v>
      </c>
      <c r="AU177" s="59" t="str">
        <f t="shared" si="226"/>
        <v>Document Stamp Tax portion-Bond Repayment</v>
      </c>
      <c r="AV177" s="59" t="str">
        <f t="shared" si="226"/>
        <v>Donations</v>
      </c>
      <c r="AW177" s="59" t="str">
        <f t="shared" si="226"/>
        <v>CCEHBR Bldg Rent,  Research contracts, Vessel and Motor Pool accts,  Saltwater Pier Tax, Fishing License plate</v>
      </c>
      <c r="AX177" s="59" t="str">
        <f t="shared" si="226"/>
        <v>Heritage Trust Fund-Document Stamp</v>
      </c>
      <c r="AY177" s="59" t="str">
        <f t="shared" si="226"/>
        <v>3 Year Saltwater Fishing Licenses</v>
      </c>
      <c r="AZ177" s="59" t="str">
        <f t="shared" si="226"/>
        <v>Saltwater Recreational Fishing Licenses</v>
      </c>
      <c r="BA177" s="59" t="str">
        <f t="shared" si="226"/>
        <v>Commercial Saltwater licenses; Culture &amp; Mariculture Permit Fees</v>
      </c>
      <c r="BB177" s="59" t="str">
        <f t="shared" si="226"/>
        <v>Morgan Island Rent</v>
      </c>
      <c r="BC177" s="59" t="str">
        <f t="shared" si="226"/>
        <v>Indirect Cost Recovery</v>
      </c>
      <c r="BD177" s="184" t="str">
        <f t="shared" si="226"/>
        <v>Santee Accord Project, US Army COELake Russell Trout, Donations/Contributions</v>
      </c>
      <c r="BE177" s="59" t="str">
        <f t="shared" si="226"/>
        <v>Operating Contributions-Yawkey Foundation</v>
      </c>
      <c r="BF177" s="59" t="str">
        <f t="shared" si="226"/>
        <v>Cash Transfer from SC Conservation Bank</v>
      </c>
      <c r="BG177" s="59" t="str">
        <f t="shared" si="226"/>
        <v>Cash Transfer from SC Conservation Bank</v>
      </c>
      <c r="BH177" s="59" t="str">
        <f t="shared" si="226"/>
        <v>Hydroelectric Relicensing Agreement Settlement</v>
      </c>
      <c r="BI177" s="59" t="str">
        <f t="shared" si="226"/>
        <v>Hydroelectric Relicensing Agreement Settlement-Duke</v>
      </c>
      <c r="BJ177" s="59" t="str">
        <f t="shared" si="226"/>
        <v>Cash from Trust Fund 41257000</v>
      </c>
      <c r="BK177" s="59" t="str">
        <f t="shared" si="226"/>
        <v>Operating Contributions-Yawkey Foundation, Timber Sales</v>
      </c>
      <c r="BL177" s="59" t="str">
        <f t="shared" si="226"/>
        <v>Tax Check Off; License Plate</v>
      </c>
      <c r="BM177" s="59" t="str">
        <f t="shared" si="226"/>
        <v>Bannister Tract Timber, Cooks Mountain, Carolina Heelsplitter</v>
      </c>
      <c r="BN177" s="59" t="str">
        <f t="shared" si="226"/>
        <v>Duke Energy - annual</v>
      </c>
      <c r="BO177" s="59" t="str">
        <f t="shared" ref="BO177:CU177" si="227">BO145</f>
        <v>(long term  project, cash carryforward)</v>
      </c>
      <c r="BP177" s="59" t="str">
        <f t="shared" si="227"/>
        <v>SCANA - annual</v>
      </c>
      <c r="BQ177" s="59" t="str">
        <f t="shared" si="227"/>
        <v>Greenwood County Utility-annual</v>
      </c>
      <c r="BR177" s="59" t="str">
        <f t="shared" si="227"/>
        <v>(long term  project, cash carryforward)</v>
      </c>
      <c r="BS177" s="59" t="str">
        <f t="shared" si="227"/>
        <v>(long term  project, cash carryforward)</v>
      </c>
      <c r="BT177" s="59" t="str">
        <f t="shared" si="227"/>
        <v>(long term  project, cash carryforward)</v>
      </c>
      <c r="BU177" s="59" t="str">
        <f t="shared" si="227"/>
        <v>(long term  project, cash carryforward)</v>
      </c>
      <c r="BV177" s="59" t="str">
        <f t="shared" si="227"/>
        <v xml:space="preserve">Savannah Harbor Expansion Settlement </v>
      </c>
      <c r="BW177" s="59" t="str">
        <f t="shared" si="227"/>
        <v>Heritage Trust Fund-Document Stamp</v>
      </c>
      <c r="BX177" s="59" t="str">
        <f t="shared" si="227"/>
        <v>Cash Transfer from 43950000</v>
      </c>
      <c r="BY177" s="59" t="str">
        <f t="shared" si="227"/>
        <v>Cash Transfer from 43950001</v>
      </c>
      <c r="BZ177" s="59" t="str">
        <f t="shared" si="227"/>
        <v>Cash Transfer from 43950002</v>
      </c>
      <c r="CA177" s="59" t="str">
        <f t="shared" si="227"/>
        <v>Cash Transfer from 43950003</v>
      </c>
      <c r="CB177" s="59" t="str">
        <f t="shared" si="227"/>
        <v>Cash Transfer from 43950005</v>
      </c>
      <c r="CC177" s="59" t="str">
        <f t="shared" si="227"/>
        <v>Cash Transfer from 43950006</v>
      </c>
      <c r="CD177" s="59" t="str">
        <f t="shared" si="227"/>
        <v>Cash Transfer from 43950007</v>
      </c>
      <c r="CE177" s="59" t="str">
        <f t="shared" si="227"/>
        <v>Cash Transfer from 43957008</v>
      </c>
      <c r="CF177" s="59" t="str">
        <f t="shared" si="227"/>
        <v>Cash Transfer from 43950009</v>
      </c>
      <c r="CG177" s="59" t="str">
        <f t="shared" si="227"/>
        <v>Migratory Waterfowl Permit Fees</v>
      </c>
      <c r="CH177" s="59" t="str">
        <f t="shared" si="227"/>
        <v>Individual and Deer Quality Program Tag Fees</v>
      </c>
      <c r="CI177" s="59" t="str">
        <f t="shared" si="227"/>
        <v>Managed Lands  Timber Harvests</v>
      </c>
      <c r="CJ177" s="59" t="str">
        <f t="shared" si="227"/>
        <v>WMA Permit Fees</v>
      </c>
      <c r="CK177" s="59" t="str">
        <f t="shared" si="227"/>
        <v>Black Bear Public Hunt and Tag Fees</v>
      </c>
      <c r="CL177" s="59" t="str">
        <f t="shared" si="227"/>
        <v>Alligator Public Hunt, WMA Hunt and Tag Fees</v>
      </c>
      <c r="CM177" s="59" t="str">
        <f t="shared" si="227"/>
        <v>Grass Carp Certification Fees</v>
      </c>
      <c r="CN177" s="59" t="str">
        <f t="shared" si="227"/>
        <v>Aquaculture Permit Fees</v>
      </c>
      <c r="CO177" s="59" t="str">
        <f t="shared" si="227"/>
        <v>Miscellaneous Wildlife Permit Fees</v>
      </c>
      <c r="CP177" s="59" t="str">
        <f t="shared" si="227"/>
        <v>Public Hunt Application Fees</v>
      </c>
      <c r="CQ177" s="59" t="str">
        <f t="shared" si="227"/>
        <v>Restricted Deer Tag Fee - designated</v>
      </c>
      <c r="CR177" s="59" t="str">
        <f t="shared" si="227"/>
        <v>Annual Freshwater Nonresident License portion</v>
      </c>
      <c r="CS177" s="59" t="str">
        <f t="shared" si="227"/>
        <v>Fur Bearer Licenses and Permits</v>
      </c>
      <c r="CT177" s="59" t="str">
        <f t="shared" si="227"/>
        <v>Shooting Preserve Application Fee</v>
      </c>
      <c r="CU177" s="349" t="str">
        <f t="shared" si="227"/>
        <v>Donations, Timber Harvest</v>
      </c>
      <c r="CV177" s="189"/>
    </row>
    <row r="178" spans="1:100" outlineLevel="1" x14ac:dyDescent="0.2">
      <c r="A178" s="23" t="s">
        <v>75</v>
      </c>
      <c r="B178" s="34" t="str">
        <f>B38</f>
        <v>If revenue source is multi-year grant, # of years, including this yr, remaining</v>
      </c>
      <c r="C178" s="65" t="str">
        <f>C38</f>
        <v>N/A</v>
      </c>
      <c r="D178" s="60" t="str">
        <f t="shared" ref="D178:AI178" si="228">IF(D38&gt;0,D38-1,"0")</f>
        <v>0</v>
      </c>
      <c r="E178" s="60" t="str">
        <f t="shared" si="228"/>
        <v>0</v>
      </c>
      <c r="F178" s="60" t="str">
        <f t="shared" si="228"/>
        <v>0</v>
      </c>
      <c r="G178" s="60" t="str">
        <f t="shared" si="228"/>
        <v>0</v>
      </c>
      <c r="H178" s="60" t="str">
        <f t="shared" si="228"/>
        <v>0</v>
      </c>
      <c r="I178" s="60" t="str">
        <f t="shared" si="228"/>
        <v>0</v>
      </c>
      <c r="J178" s="60" t="str">
        <f t="shared" si="228"/>
        <v>0</v>
      </c>
      <c r="K178" s="60" t="str">
        <f t="shared" si="228"/>
        <v>0</v>
      </c>
      <c r="L178" s="60" t="str">
        <f t="shared" si="228"/>
        <v>0</v>
      </c>
      <c r="M178" s="60" t="str">
        <f t="shared" si="228"/>
        <v>0</v>
      </c>
      <c r="N178" s="60" t="str">
        <f t="shared" si="228"/>
        <v>0</v>
      </c>
      <c r="O178" s="60" t="str">
        <f t="shared" si="228"/>
        <v>0</v>
      </c>
      <c r="P178" s="60" t="str">
        <f t="shared" si="228"/>
        <v>0</v>
      </c>
      <c r="Q178" s="60" t="str">
        <f t="shared" si="228"/>
        <v>0</v>
      </c>
      <c r="R178" s="60" t="str">
        <f t="shared" si="228"/>
        <v>0</v>
      </c>
      <c r="S178" s="60" t="str">
        <f t="shared" si="228"/>
        <v>0</v>
      </c>
      <c r="T178" s="60" t="str">
        <f t="shared" si="228"/>
        <v>0</v>
      </c>
      <c r="U178" s="60" t="str">
        <f t="shared" si="228"/>
        <v>0</v>
      </c>
      <c r="V178" s="60" t="str">
        <f t="shared" si="228"/>
        <v>0</v>
      </c>
      <c r="W178" s="60" t="str">
        <f t="shared" si="228"/>
        <v>0</v>
      </c>
      <c r="X178" s="60" t="str">
        <f t="shared" si="228"/>
        <v>0</v>
      </c>
      <c r="Y178" s="60" t="str">
        <f t="shared" si="228"/>
        <v>0</v>
      </c>
      <c r="Z178" s="60" t="str">
        <f t="shared" si="228"/>
        <v>0</v>
      </c>
      <c r="AA178" s="60" t="str">
        <f t="shared" si="228"/>
        <v>0</v>
      </c>
      <c r="AB178" s="60" t="str">
        <f t="shared" si="228"/>
        <v>0</v>
      </c>
      <c r="AC178" s="60" t="str">
        <f t="shared" si="228"/>
        <v>0</v>
      </c>
      <c r="AD178" s="60" t="str">
        <f t="shared" si="228"/>
        <v>0</v>
      </c>
      <c r="AE178" s="60" t="str">
        <f t="shared" si="228"/>
        <v>0</v>
      </c>
      <c r="AF178" s="60" t="str">
        <f t="shared" si="228"/>
        <v>0</v>
      </c>
      <c r="AG178" s="60" t="str">
        <f t="shared" si="228"/>
        <v>0</v>
      </c>
      <c r="AH178" s="60" t="str">
        <f t="shared" si="228"/>
        <v>0</v>
      </c>
      <c r="AI178" s="60" t="str">
        <f t="shared" si="228"/>
        <v>0</v>
      </c>
      <c r="AJ178" s="60" t="str">
        <f t="shared" ref="AJ178:BO178" si="229">IF(AJ38&gt;0,AJ38-1,"0")</f>
        <v>0</v>
      </c>
      <c r="AK178" s="60" t="str">
        <f t="shared" si="229"/>
        <v>0</v>
      </c>
      <c r="AL178" s="60" t="str">
        <f t="shared" si="229"/>
        <v>0</v>
      </c>
      <c r="AM178" s="60" t="str">
        <f t="shared" si="229"/>
        <v>0</v>
      </c>
      <c r="AN178" s="60" t="str">
        <f t="shared" si="229"/>
        <v>0</v>
      </c>
      <c r="AO178" s="60" t="str">
        <f t="shared" si="229"/>
        <v>0</v>
      </c>
      <c r="AP178" s="60" t="str">
        <f t="shared" si="229"/>
        <v>0</v>
      </c>
      <c r="AQ178" s="60" t="str">
        <f t="shared" si="229"/>
        <v>0</v>
      </c>
      <c r="AR178" s="60" t="str">
        <f t="shared" si="229"/>
        <v>0</v>
      </c>
      <c r="AS178" s="60" t="str">
        <f t="shared" si="229"/>
        <v>0</v>
      </c>
      <c r="AT178" s="60" t="str">
        <f t="shared" si="229"/>
        <v>0</v>
      </c>
      <c r="AU178" s="60" t="str">
        <f t="shared" si="229"/>
        <v>0</v>
      </c>
      <c r="AV178" s="60" t="str">
        <f t="shared" si="229"/>
        <v>0</v>
      </c>
      <c r="AW178" s="60" t="str">
        <f t="shared" si="229"/>
        <v>0</v>
      </c>
      <c r="AX178" s="60" t="str">
        <f t="shared" si="229"/>
        <v>0</v>
      </c>
      <c r="AY178" s="60" t="str">
        <f t="shared" si="229"/>
        <v>0</v>
      </c>
      <c r="AZ178" s="60" t="str">
        <f t="shared" si="229"/>
        <v>0</v>
      </c>
      <c r="BA178" s="60" t="str">
        <f t="shared" si="229"/>
        <v>0</v>
      </c>
      <c r="BB178" s="60" t="str">
        <f t="shared" si="229"/>
        <v>0</v>
      </c>
      <c r="BC178" s="60" t="str">
        <f t="shared" si="229"/>
        <v>0</v>
      </c>
      <c r="BD178" s="187" t="str">
        <f t="shared" si="229"/>
        <v>0</v>
      </c>
      <c r="BE178" s="60" t="str">
        <f t="shared" si="229"/>
        <v>0</v>
      </c>
      <c r="BF178" s="60" t="str">
        <f t="shared" si="229"/>
        <v>0</v>
      </c>
      <c r="BG178" s="60" t="str">
        <f t="shared" si="229"/>
        <v>0</v>
      </c>
      <c r="BH178" s="60" t="str">
        <f t="shared" si="229"/>
        <v>0</v>
      </c>
      <c r="BI178" s="60" t="str">
        <f t="shared" si="229"/>
        <v>0</v>
      </c>
      <c r="BJ178" s="60" t="str">
        <f t="shared" si="229"/>
        <v>0</v>
      </c>
      <c r="BK178" s="60" t="str">
        <f t="shared" si="229"/>
        <v>0</v>
      </c>
      <c r="BL178" s="60" t="str">
        <f t="shared" si="229"/>
        <v>0</v>
      </c>
      <c r="BM178" s="60" t="str">
        <f t="shared" si="229"/>
        <v>0</v>
      </c>
      <c r="BN178" s="60" t="str">
        <f t="shared" si="229"/>
        <v>0</v>
      </c>
      <c r="BO178" s="60" t="str">
        <f t="shared" si="229"/>
        <v>0</v>
      </c>
      <c r="BP178" s="60" t="str">
        <f t="shared" ref="BP178:CU178" si="230">IF(BP38&gt;0,BP38-1,"0")</f>
        <v>0</v>
      </c>
      <c r="BQ178" s="60" t="str">
        <f t="shared" si="230"/>
        <v>0</v>
      </c>
      <c r="BR178" s="60" t="str">
        <f t="shared" si="230"/>
        <v>0</v>
      </c>
      <c r="BS178" s="60" t="str">
        <f t="shared" si="230"/>
        <v>0</v>
      </c>
      <c r="BT178" s="60" t="str">
        <f t="shared" si="230"/>
        <v>0</v>
      </c>
      <c r="BU178" s="60" t="str">
        <f t="shared" si="230"/>
        <v>0</v>
      </c>
      <c r="BV178" s="60" t="str">
        <f t="shared" si="230"/>
        <v>0</v>
      </c>
      <c r="BW178" s="60" t="str">
        <f t="shared" si="230"/>
        <v>0</v>
      </c>
      <c r="BX178" s="60" t="str">
        <f t="shared" si="230"/>
        <v>0</v>
      </c>
      <c r="BY178" s="60" t="str">
        <f t="shared" si="230"/>
        <v>0</v>
      </c>
      <c r="BZ178" s="60" t="str">
        <f t="shared" si="230"/>
        <v>0</v>
      </c>
      <c r="CA178" s="60" t="str">
        <f t="shared" si="230"/>
        <v>0</v>
      </c>
      <c r="CB178" s="60" t="str">
        <f t="shared" si="230"/>
        <v>0</v>
      </c>
      <c r="CC178" s="60" t="str">
        <f t="shared" si="230"/>
        <v>0</v>
      </c>
      <c r="CD178" s="60" t="str">
        <f t="shared" si="230"/>
        <v>0</v>
      </c>
      <c r="CE178" s="60" t="str">
        <f t="shared" si="230"/>
        <v>0</v>
      </c>
      <c r="CF178" s="60" t="str">
        <f t="shared" si="230"/>
        <v>0</v>
      </c>
      <c r="CG178" s="60" t="str">
        <f t="shared" si="230"/>
        <v>0</v>
      </c>
      <c r="CH178" s="60" t="str">
        <f t="shared" si="230"/>
        <v>0</v>
      </c>
      <c r="CI178" s="60" t="str">
        <f t="shared" si="230"/>
        <v>0</v>
      </c>
      <c r="CJ178" s="60" t="str">
        <f t="shared" si="230"/>
        <v>0</v>
      </c>
      <c r="CK178" s="60" t="str">
        <f t="shared" si="230"/>
        <v>0</v>
      </c>
      <c r="CL178" s="60" t="str">
        <f t="shared" si="230"/>
        <v>0</v>
      </c>
      <c r="CM178" s="60" t="str">
        <f t="shared" si="230"/>
        <v>0</v>
      </c>
      <c r="CN178" s="60" t="str">
        <f t="shared" si="230"/>
        <v>0</v>
      </c>
      <c r="CO178" s="60" t="str">
        <f t="shared" si="230"/>
        <v>0</v>
      </c>
      <c r="CP178" s="60" t="str">
        <f t="shared" si="230"/>
        <v>0</v>
      </c>
      <c r="CQ178" s="60" t="str">
        <f t="shared" si="230"/>
        <v>0</v>
      </c>
      <c r="CR178" s="60" t="str">
        <f t="shared" si="230"/>
        <v>0</v>
      </c>
      <c r="CS178" s="60" t="str">
        <f t="shared" si="230"/>
        <v>0</v>
      </c>
      <c r="CT178" s="60" t="str">
        <f t="shared" si="230"/>
        <v>0</v>
      </c>
      <c r="CU178" s="344" t="str">
        <f t="shared" si="230"/>
        <v>0</v>
      </c>
      <c r="CV178" s="189"/>
    </row>
    <row r="179" spans="1:100" ht="114.75" outlineLevel="1" x14ac:dyDescent="0.2">
      <c r="A179" s="3" t="s">
        <v>76</v>
      </c>
      <c r="B179" s="67" t="str">
        <f>B39</f>
        <v>External restrictions (from state/federal govt, grant issuer, etc.), if any, on how the agency can use the revenue</v>
      </c>
      <c r="C179" s="75" t="str">
        <f>C39</f>
        <v>N/A</v>
      </c>
      <c r="D179" s="38">
        <f t="shared" ref="D179:AI179" si="231">D39</f>
        <v>0</v>
      </c>
      <c r="E179" s="38">
        <f t="shared" si="231"/>
        <v>0</v>
      </c>
      <c r="F179" s="38" t="str">
        <f t="shared" si="231"/>
        <v xml:space="preserve">State - restricted to </v>
      </c>
      <c r="G179" s="38" t="str">
        <f t="shared" si="231"/>
        <v>Federal - restricted to awards for funded projects</v>
      </c>
      <c r="H179" s="38" t="str">
        <f t="shared" si="231"/>
        <v>Federal - restricted to awards for funded projects</v>
      </c>
      <c r="I179" s="38">
        <f t="shared" si="231"/>
        <v>0</v>
      </c>
      <c r="J179" s="38">
        <f t="shared" si="231"/>
        <v>0</v>
      </c>
      <c r="K179" s="38">
        <f t="shared" si="231"/>
        <v>0</v>
      </c>
      <c r="L179" s="38" t="str">
        <f t="shared" si="231"/>
        <v>State Statute - remit to SC DOR</v>
      </c>
      <c r="M179" s="38" t="str">
        <f t="shared" si="231"/>
        <v>State Statute - purposes of fund</v>
      </c>
      <c r="N179" s="38">
        <f t="shared" si="231"/>
        <v>0</v>
      </c>
      <c r="O179" s="38">
        <f t="shared" si="231"/>
        <v>0</v>
      </c>
      <c r="P179" s="38">
        <f t="shared" si="231"/>
        <v>0</v>
      </c>
      <c r="Q179" s="38">
        <f t="shared" si="231"/>
        <v>0</v>
      </c>
      <c r="R179" s="38">
        <f t="shared" si="231"/>
        <v>0</v>
      </c>
      <c r="S179" s="38">
        <f t="shared" si="231"/>
        <v>0</v>
      </c>
      <c r="T179" s="38">
        <f t="shared" si="231"/>
        <v>0</v>
      </c>
      <c r="U179" s="38">
        <f t="shared" si="231"/>
        <v>0</v>
      </c>
      <c r="V179" s="38" t="str">
        <f t="shared" si="231"/>
        <v>Subscription revenue to fund magazine production &amp; distribution</v>
      </c>
      <c r="W179" s="38">
        <f t="shared" si="231"/>
        <v>0</v>
      </c>
      <c r="X179" s="38">
        <f t="shared" si="231"/>
        <v>0</v>
      </c>
      <c r="Y179" s="38">
        <f t="shared" si="231"/>
        <v>0</v>
      </c>
      <c r="Z179" s="38">
        <f t="shared" si="231"/>
        <v>0</v>
      </c>
      <c r="AA179" s="38" t="str">
        <f t="shared" si="231"/>
        <v xml:space="preserve">Local Govt Contributions fund corresponding mapping </v>
      </c>
      <c r="AB179" s="38">
        <f t="shared" si="231"/>
        <v>0</v>
      </c>
      <c r="AC179" s="38">
        <f t="shared" si="231"/>
        <v>0</v>
      </c>
      <c r="AD179" s="38">
        <f t="shared" si="231"/>
        <v>0</v>
      </c>
      <c r="AE179" s="38">
        <f t="shared" si="231"/>
        <v>0</v>
      </c>
      <c r="AF179" s="38">
        <f t="shared" si="231"/>
        <v>0</v>
      </c>
      <c r="AG179" s="38">
        <f t="shared" si="231"/>
        <v>0</v>
      </c>
      <c r="AH179" s="38">
        <f t="shared" si="231"/>
        <v>0</v>
      </c>
      <c r="AI179" s="38">
        <f t="shared" si="231"/>
        <v>0</v>
      </c>
      <c r="AJ179" s="38">
        <f t="shared" ref="AJ179:BO179" si="232">AJ39</f>
        <v>0</v>
      </c>
      <c r="AK179" s="38">
        <f t="shared" si="232"/>
        <v>0</v>
      </c>
      <c r="AL179" s="38">
        <f t="shared" si="232"/>
        <v>0</v>
      </c>
      <c r="AM179" s="38">
        <f t="shared" si="232"/>
        <v>0</v>
      </c>
      <c r="AN179" s="38">
        <f t="shared" si="232"/>
        <v>0</v>
      </c>
      <c r="AO179" s="38">
        <f t="shared" si="232"/>
        <v>0</v>
      </c>
      <c r="AP179" s="38" t="str">
        <f t="shared" si="232"/>
        <v>Pass through to USGS-Stream Gauges</v>
      </c>
      <c r="AQ179" s="38">
        <f t="shared" si="232"/>
        <v>0</v>
      </c>
      <c r="AR179" s="38">
        <f t="shared" si="232"/>
        <v>0</v>
      </c>
      <c r="AS179" s="38">
        <f t="shared" si="232"/>
        <v>0</v>
      </c>
      <c r="AT179" s="38">
        <f t="shared" si="232"/>
        <v>0</v>
      </c>
      <c r="AU179" s="38">
        <f t="shared" si="232"/>
        <v>0</v>
      </c>
      <c r="AV179" s="38">
        <f t="shared" si="232"/>
        <v>0</v>
      </c>
      <c r="AW179" s="38">
        <f t="shared" si="232"/>
        <v>0</v>
      </c>
      <c r="AX179" s="38">
        <f t="shared" si="232"/>
        <v>0</v>
      </c>
      <c r="AY179" s="38">
        <f t="shared" si="232"/>
        <v>0</v>
      </c>
      <c r="AZ179" s="38">
        <f t="shared" si="232"/>
        <v>0</v>
      </c>
      <c r="BA179" s="38">
        <f t="shared" si="232"/>
        <v>0</v>
      </c>
      <c r="BB179" s="38">
        <f t="shared" si="232"/>
        <v>0</v>
      </c>
      <c r="BC179" s="38">
        <f t="shared" si="232"/>
        <v>0</v>
      </c>
      <c r="BD179" s="178" t="str">
        <f t="shared" si="232"/>
        <v xml:space="preserve">Santee Accord Agreement, USACOE Lake Russell Trout Stocking, Greenwood Utility Ware Shoals Fish Stocking, Santee Cooper Sturgeon Research </v>
      </c>
      <c r="BE179" s="38" t="str">
        <f t="shared" si="232"/>
        <v>Yawkey Foundation-Reimbursement for Yawkey Wildlife Center expenditures</v>
      </c>
      <c r="BF179" s="38" t="str">
        <f t="shared" si="232"/>
        <v>State-Pittman Robinson grant match</v>
      </c>
      <c r="BG179" s="38" t="str">
        <f t="shared" si="232"/>
        <v>State-NAWCA grant match or similar projects</v>
      </c>
      <c r="BH179" s="38" t="str">
        <f t="shared" si="232"/>
        <v>Projects consistent with agreement-Duke Keowee Toxaway</v>
      </c>
      <c r="BI179" s="38" t="str">
        <f t="shared" si="232"/>
        <v>Projects consistent with agreement</v>
      </c>
      <c r="BJ179" s="38" t="str">
        <f t="shared" si="232"/>
        <v>Yawkey Foundation-Reimbursement for Yawkey Wildlife Center expenditures</v>
      </c>
      <c r="BK179" s="38" t="str">
        <f t="shared" si="232"/>
        <v>Yawkey Foundation-Reimbursement for Yawkey Wildlife Center expenditures</v>
      </c>
      <c r="BL179" s="38" t="str">
        <f t="shared" si="232"/>
        <v>Statute - non game projects only</v>
      </c>
      <c r="BM179" s="38" t="str">
        <f t="shared" si="232"/>
        <v>Consent decree resulting from legal actions.</v>
      </c>
      <c r="BN179" s="38" t="str">
        <f t="shared" si="232"/>
        <v>Consent decree resulting from legal actions.</v>
      </c>
      <c r="BO179" s="38" t="str">
        <f t="shared" si="232"/>
        <v>Consent decree resulting from legal actions.</v>
      </c>
      <c r="BP179" s="38" t="str">
        <f t="shared" ref="BP179:CU179" si="233">BP39</f>
        <v>Consent decree resulting from legal actions.</v>
      </c>
      <c r="BQ179" s="38" t="str">
        <f t="shared" si="233"/>
        <v>Consent decree resulting from legal actions.</v>
      </c>
      <c r="BR179" s="38" t="str">
        <f t="shared" si="233"/>
        <v>Consent decree resulting from legal actions.</v>
      </c>
      <c r="BS179" s="38" t="str">
        <f t="shared" si="233"/>
        <v>Consent decree resulting from legal actions.</v>
      </c>
      <c r="BT179" s="38" t="str">
        <f t="shared" si="233"/>
        <v>Consent decree resulting from legal actions.</v>
      </c>
      <c r="BU179" s="38" t="str">
        <f t="shared" si="233"/>
        <v>Consent decree resulting from legal actions.</v>
      </c>
      <c r="BV179" s="38" t="str">
        <f t="shared" si="233"/>
        <v>Consent decree resulting from legal actions.</v>
      </c>
      <c r="BW179" s="38" t="str">
        <f t="shared" si="233"/>
        <v>Consent decree resulting from legal actions.</v>
      </c>
      <c r="BX179" s="38" t="str">
        <f t="shared" si="233"/>
        <v>Consent decree resulting from legal actions.</v>
      </c>
      <c r="BY179" s="38" t="str">
        <f t="shared" si="233"/>
        <v>Consent decree resulting from legal actions.</v>
      </c>
      <c r="BZ179" s="38" t="str">
        <f t="shared" si="233"/>
        <v>Consent decree resulting from legal actions.</v>
      </c>
      <c r="CA179" s="38" t="str">
        <f t="shared" si="233"/>
        <v>Consent decree resulting from legal actions.</v>
      </c>
      <c r="CB179" s="38" t="str">
        <f t="shared" si="233"/>
        <v>Consent decree resulting from legal actions.</v>
      </c>
      <c r="CC179" s="38" t="str">
        <f t="shared" si="233"/>
        <v>Consent decree resulting from legal actions.</v>
      </c>
      <c r="CD179" s="38" t="str">
        <f t="shared" si="233"/>
        <v>Consent decree resulting from legal actions.</v>
      </c>
      <c r="CE179" s="38" t="str">
        <f t="shared" si="233"/>
        <v>Consent decree resulting from legal actions.</v>
      </c>
      <c r="CF179" s="38" t="str">
        <f t="shared" si="233"/>
        <v>Consent decree resulting from legal actions.</v>
      </c>
      <c r="CG179" s="38" t="str">
        <f t="shared" si="233"/>
        <v>State Statute-migratory waterfowl projects</v>
      </c>
      <c r="CH179" s="38" t="str">
        <f t="shared" si="233"/>
        <v>State Statute-deer projects</v>
      </c>
      <c r="CI179" s="38" t="str">
        <f t="shared" si="233"/>
        <v>State Statute &amp; Federal CFR-expended for habitat management  on DNR property</v>
      </c>
      <c r="CJ179" s="38" t="str">
        <f t="shared" si="233"/>
        <v>State Statute-pay landowner lease payments and manage WMA properties</v>
      </c>
      <c r="CK179" s="38" t="str">
        <f t="shared" si="233"/>
        <v>State Statute-monitor and manage black bear populations</v>
      </c>
      <c r="CL179" s="38" t="str">
        <f t="shared" si="233"/>
        <v>State Statute-monitor and manage alligator populations</v>
      </c>
      <c r="CM179" s="38" t="str">
        <f t="shared" si="233"/>
        <v>State Statute-to manage grass carp certification program</v>
      </c>
      <c r="CN179" s="38" t="str">
        <f t="shared" si="233"/>
        <v xml:space="preserve">State Statute-monitor aquaculture projects </v>
      </c>
      <c r="CO179" s="38" t="str">
        <f t="shared" si="233"/>
        <v xml:space="preserve">State Statute-manage issuing permits </v>
      </c>
      <c r="CP179" s="38" t="str">
        <f t="shared" si="233"/>
        <v xml:space="preserve">State Statute-administer public hunt program </v>
      </c>
      <c r="CQ179" s="38" t="str">
        <f t="shared" si="233"/>
        <v xml:space="preserve">State Statute-administer coyote program </v>
      </c>
      <c r="CR179" s="38" t="str">
        <f t="shared" si="233"/>
        <v>State Statute-freshwater hatchery operations</v>
      </c>
      <c r="CS179" s="38" t="str">
        <f t="shared" si="233"/>
        <v xml:space="preserve">State Statute-administerfur bearer program </v>
      </c>
      <c r="CT179" s="38" t="str">
        <f t="shared" si="233"/>
        <v xml:space="preserve">State Statute-administerfur shooting preserve program </v>
      </c>
      <c r="CU179" s="350">
        <f t="shared" si="233"/>
        <v>0</v>
      </c>
      <c r="CV179" s="189"/>
    </row>
    <row r="180" spans="1:100" ht="306" outlineLevel="1" x14ac:dyDescent="0.2">
      <c r="A180" s="23" t="s">
        <v>77</v>
      </c>
      <c r="B180" s="34" t="str">
        <f>B40</f>
        <v>State Funded Program Description in the General Appropriations Act</v>
      </c>
      <c r="C180" s="76"/>
      <c r="D180" s="59" t="str">
        <f t="shared" ref="D180:E180" si="234">D163</f>
        <v xml:space="preserve">I.;  II.A.1.;  II.A.3.; II.B.1.; II.D.1.; II.D.3.; II.D.5.; II.E.1.;II.F.1.;  II.F.2.; II.G.1.; II. G.2.     </v>
      </c>
      <c r="E180" s="59" t="str">
        <f t="shared" si="234"/>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180" s="59" t="str">
        <f t="shared" ref="F180:H180" si="235">F163</f>
        <v xml:space="preserve"> II.E.1.; II.E.2.</v>
      </c>
      <c r="G180" s="59" t="str">
        <f t="shared" si="235"/>
        <v xml:space="preserve">I.;  II.A.1.; II.A.2.; II.A.3.; II.B.2.; II.D.1.; II.D.2.; II.E.1.; II.E.3.   </v>
      </c>
      <c r="H180" s="59" t="str">
        <f t="shared" si="235"/>
        <v>9942-Waddell Ctr Renovation;      9953-Chestnut Ridge Land Acq; 9950-Wateree Range Land Acq;         9946-Liberty Hill Land Acq;         9959-S Fenwick Isl Land Acq;         9966-Wateree Range Renovation</v>
      </c>
      <c r="I180" s="59" t="str">
        <f>I163</f>
        <v xml:space="preserve">9907-Cohen Campbell Hatchery;  9942-Waddell Ctr Renovation;       9960-Murphy Isl Dike;                   9962-Cedar Isl Dike;      9963-Samworth   Dike;                              9965-Spring Stevens Hatchery; 9967-Ft Johnson Boat Slip;          9968-Ft Johnson Roof Replacement        </v>
      </c>
      <c r="J180" s="59" t="str">
        <f>J163</f>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180" s="59" t="str">
        <f>K163</f>
        <v>I.</v>
      </c>
      <c r="L180" s="59" t="str">
        <f t="shared" ref="L180" si="236">L163</f>
        <v>II.B.1.</v>
      </c>
      <c r="M180" s="59" t="str">
        <f>M163</f>
        <v>II.C.3.;  II.D.1.; II.D.4.; II.E.1.;  II.F.1.</v>
      </c>
      <c r="N180" s="59" t="str">
        <f>N163</f>
        <v xml:space="preserve">I.;  II.A.1.; II.A.2.; II.A.3.; II.B.2.; II.D.1.; II.D.2.; II.E.1.; II.E.3.   </v>
      </c>
      <c r="O180" s="59" t="str">
        <f t="shared" ref="O180:BG180" si="237">O163</f>
        <v>II.E.1.</v>
      </c>
      <c r="P180" s="59" t="str">
        <f t="shared" ref="P180:U180" si="238">P163</f>
        <v>II.E.1.;   II.E.3.</v>
      </c>
      <c r="Q180" s="59" t="str">
        <f t="shared" si="238"/>
        <v>II.E.1.;   II.E.3.</v>
      </c>
      <c r="R180" s="59" t="str">
        <f t="shared" si="238"/>
        <v xml:space="preserve">II.E.1. </v>
      </c>
      <c r="S180" s="59" t="str">
        <f t="shared" si="238"/>
        <v>II.E.1.; II.E.3.</v>
      </c>
      <c r="T180" s="59" t="str">
        <f t="shared" si="238"/>
        <v>II.E.1.</v>
      </c>
      <c r="U180" s="59" t="str">
        <f t="shared" si="238"/>
        <v>II.C.3.</v>
      </c>
      <c r="V180" s="59" t="str">
        <f t="shared" si="237"/>
        <v>II.A.2.</v>
      </c>
      <c r="W180" s="59" t="str">
        <f t="shared" ref="W180:AH180" si="239">W163</f>
        <v>I.; II.A.1.; II.A.3.</v>
      </c>
      <c r="X180" s="59" t="str">
        <f t="shared" si="239"/>
        <v>I.</v>
      </c>
      <c r="Y180" s="59" t="str">
        <f t="shared" si="239"/>
        <v>II.B.1</v>
      </c>
      <c r="Z180" s="59" t="str">
        <f t="shared" si="239"/>
        <v>I.; II.A.1.; II.A.2.; II.A.3.; II.B.1.</v>
      </c>
      <c r="AA180" s="59" t="str">
        <f t="shared" si="239"/>
        <v>II.A.3.</v>
      </c>
      <c r="AB180" s="59" t="str">
        <f t="shared" si="239"/>
        <v>I.</v>
      </c>
      <c r="AC180" s="59" t="str">
        <f t="shared" si="239"/>
        <v>II.C.2.</v>
      </c>
      <c r="AD180" s="59" t="str">
        <f t="shared" si="239"/>
        <v>II.C.1.</v>
      </c>
      <c r="AE180" s="59" t="str">
        <f t="shared" si="239"/>
        <v>II.C.2.</v>
      </c>
      <c r="AF180" s="59" t="str">
        <f t="shared" si="239"/>
        <v>I.</v>
      </c>
      <c r="AG180" s="59" t="str">
        <f t="shared" si="239"/>
        <v>I.; II.B.2.</v>
      </c>
      <c r="AH180" s="59" t="str">
        <f t="shared" si="239"/>
        <v>II.B.2.</v>
      </c>
      <c r="AI180" s="59" t="str">
        <f>AI163</f>
        <v>I.; II.A.3.</v>
      </c>
      <c r="AJ180" s="59" t="str">
        <f>AJ163</f>
        <v xml:space="preserve"> II.F.1.;  II.F.2.</v>
      </c>
      <c r="AK180" s="59" t="str">
        <f>AK163</f>
        <v>II.B.2.</v>
      </c>
      <c r="AL180" s="59" t="str">
        <f t="shared" si="237"/>
        <v>II.G.1.; II. G.2.</v>
      </c>
      <c r="AM180" s="59" t="str">
        <f>AM163</f>
        <v>II.G.1.</v>
      </c>
      <c r="AN180" s="59" t="str">
        <f>AN163</f>
        <v>II.G.1.</v>
      </c>
      <c r="AO180" s="59" t="str">
        <f>AO163</f>
        <v>II.G.1.</v>
      </c>
      <c r="AP180" s="59" t="str">
        <f t="shared" ref="AP180" si="240">AP163</f>
        <v>II.G.1.</v>
      </c>
      <c r="AQ180" s="59" t="str">
        <f t="shared" ref="AQ180:AX180" si="241">AQ163</f>
        <v>II.G.1.</v>
      </c>
      <c r="AR180" s="59" t="str">
        <f t="shared" si="241"/>
        <v>II.G.3.</v>
      </c>
      <c r="AS180" s="59" t="str">
        <f t="shared" si="241"/>
        <v>II.G.3.</v>
      </c>
      <c r="AT180" s="59" t="str">
        <f t="shared" si="241"/>
        <v>II.G.3.</v>
      </c>
      <c r="AU180" s="59" t="str">
        <f t="shared" si="241"/>
        <v>II.G.3.</v>
      </c>
      <c r="AV180" s="59" t="str">
        <f t="shared" si="241"/>
        <v>II.G.1.</v>
      </c>
      <c r="AW180" s="59" t="str">
        <f t="shared" si="241"/>
        <v xml:space="preserve">II.F.1.; II.F.2.  </v>
      </c>
      <c r="AX180" s="59" t="str">
        <f t="shared" si="241"/>
        <v>II.G.3.</v>
      </c>
      <c r="AY180" s="59" t="str">
        <f t="shared" ref="AY180" si="242">AY163</f>
        <v>I.</v>
      </c>
      <c r="AZ180" s="59" t="str">
        <f t="shared" ref="AZ180" si="243">AZ163</f>
        <v>II.A.3.;   II.F.1.;  II.F.2.</v>
      </c>
      <c r="BA180" s="59" t="str">
        <f t="shared" ref="BA180:BB180" si="244">BA163</f>
        <v>II.B.2.;   II.F.1.;  II.F.2.</v>
      </c>
      <c r="BB180" s="59" t="str">
        <f t="shared" si="244"/>
        <v>II.D.1.;  II.F.1.;   II.F.2.</v>
      </c>
      <c r="BC180" s="59" t="str">
        <f>BC163</f>
        <v xml:space="preserve"> II.F.1.;  II.F.2.</v>
      </c>
      <c r="BD180" s="184" t="str">
        <f>BD163</f>
        <v xml:space="preserve">II.D.1.; II.D.2.; II.D.3.; II.D.4.; II.D.5.   </v>
      </c>
      <c r="BE180" s="59" t="str">
        <f>BE163</f>
        <v>II.D.2.</v>
      </c>
      <c r="BF180" s="59" t="str">
        <f t="shared" si="237"/>
        <v>II.D.1.</v>
      </c>
      <c r="BG180" s="59" t="str">
        <f t="shared" si="237"/>
        <v>II.D.1.</v>
      </c>
      <c r="BH180" s="59" t="str">
        <f t="shared" ref="BH180:BI180" si="245">BH163</f>
        <v>II.D.4.</v>
      </c>
      <c r="BI180" s="59" t="str">
        <f t="shared" si="245"/>
        <v>II.D.1.   II.D.4.</v>
      </c>
      <c r="BJ180" s="59" t="str">
        <f>BJ163</f>
        <v>II.D.2.</v>
      </c>
      <c r="BK180" s="59" t="str">
        <f>BK163</f>
        <v>II.D.2.</v>
      </c>
      <c r="BL180" s="59" t="str">
        <f t="shared" ref="BL180" si="246">BL163</f>
        <v>II.D.3.</v>
      </c>
      <c r="BM180" s="59" t="str">
        <f t="shared" ref="BM180:BP180" si="247">BM163</f>
        <v>II.D.1.; II.D.4.</v>
      </c>
      <c r="BN180" s="59" t="str">
        <f t="shared" si="247"/>
        <v>II.D.4.</v>
      </c>
      <c r="BO180" s="59" t="str">
        <f t="shared" si="247"/>
        <v>II.D.4.</v>
      </c>
      <c r="BP180" s="59" t="str">
        <f t="shared" si="247"/>
        <v>II.D.4.</v>
      </c>
      <c r="BQ180" s="59" t="str">
        <f t="shared" ref="BQ180:BT180" si="248">BQ163</f>
        <v>II.D.4.</v>
      </c>
      <c r="BR180" s="59" t="str">
        <f t="shared" si="248"/>
        <v>II.D.4.</v>
      </c>
      <c r="BS180" s="59" t="str">
        <f t="shared" si="248"/>
        <v>II.D.1.</v>
      </c>
      <c r="BT180" s="59" t="str">
        <f t="shared" si="248"/>
        <v>II.D.1.</v>
      </c>
      <c r="BU180" s="59" t="str">
        <f>BU163</f>
        <v>II.D.4.</v>
      </c>
      <c r="BV180" s="59" t="str">
        <f>BV163</f>
        <v>II.D.4.</v>
      </c>
      <c r="BW180" s="59" t="str">
        <f>BW163</f>
        <v>II.G.3.</v>
      </c>
      <c r="BX180" s="59" t="str">
        <f>BX163</f>
        <v>II.D.1.; II.D.4.</v>
      </c>
      <c r="BY180" s="59" t="str">
        <f>BY163</f>
        <v>II.D.4.</v>
      </c>
      <c r="BZ180" s="59" t="str">
        <f t="shared" ref="BZ180" si="249">BZ163</f>
        <v>II.D.4.</v>
      </c>
      <c r="CA180" s="59" t="str">
        <f>CA163</f>
        <v>II.D.4.</v>
      </c>
      <c r="CB180" s="59" t="str">
        <f t="shared" ref="CB180" si="250">CB163</f>
        <v>II.D.4.</v>
      </c>
      <c r="CC180" s="59" t="str">
        <f>CC163</f>
        <v>II.D.1.</v>
      </c>
      <c r="CD180" s="59" t="str">
        <f>CD163</f>
        <v>II.D.1.</v>
      </c>
      <c r="CE180" s="59" t="str">
        <f t="shared" ref="CE180" si="251">CE163</f>
        <v>II.D.4.</v>
      </c>
      <c r="CF180" s="59" t="str">
        <f>CF163</f>
        <v>II.D.4.</v>
      </c>
      <c r="CG180" s="59" t="str">
        <f t="shared" ref="CG180" si="252">CG163</f>
        <v>II.D.2.</v>
      </c>
      <c r="CH180" s="59" t="str">
        <f t="shared" ref="CH180:CK180" si="253">CH163</f>
        <v>II.B.2.; II.D.2.</v>
      </c>
      <c r="CI180" s="59" t="str">
        <f t="shared" si="253"/>
        <v>II.D.1.; II.D.3.</v>
      </c>
      <c r="CJ180" s="59" t="str">
        <f t="shared" si="253"/>
        <v>II.D.1.</v>
      </c>
      <c r="CK180" s="59" t="str">
        <f t="shared" si="253"/>
        <v>II.D.2.</v>
      </c>
      <c r="CL180" s="59" t="str">
        <f t="shared" ref="CL180" si="254">CL163</f>
        <v>II.D.2.</v>
      </c>
      <c r="CM180" s="59" t="str">
        <f t="shared" ref="CM180" si="255">CM163</f>
        <v>II.D.4.;  II.D.5.</v>
      </c>
      <c r="CN180" s="59" t="str">
        <f t="shared" ref="CN180" si="256">CN163</f>
        <v>II.D.4.</v>
      </c>
      <c r="CO180" s="59" t="str">
        <f t="shared" ref="CO180:CU180" si="257">CO163</f>
        <v>II.D.1.</v>
      </c>
      <c r="CP180" s="59" t="str">
        <f t="shared" si="257"/>
        <v>II.D.1.</v>
      </c>
      <c r="CQ180" s="59" t="str">
        <f t="shared" si="257"/>
        <v>II.D.2.</v>
      </c>
      <c r="CR180" s="59" t="str">
        <f t="shared" si="257"/>
        <v>II.D.5.</v>
      </c>
      <c r="CS180" s="59" t="str">
        <f t="shared" si="257"/>
        <v>II.D.2.</v>
      </c>
      <c r="CT180" s="59" t="str">
        <f t="shared" si="257"/>
        <v>II.D.1.</v>
      </c>
      <c r="CU180" s="349" t="str">
        <f t="shared" si="257"/>
        <v>II.D.1.</v>
      </c>
      <c r="CV180" s="189"/>
    </row>
    <row r="181" spans="1:100" ht="25.5" x14ac:dyDescent="0.2">
      <c r="A181" s="23" t="s">
        <v>78</v>
      </c>
      <c r="B181" s="30" t="str">
        <f>B170</f>
        <v xml:space="preserve">Total Appropriated and Authorized (i.e. allowed to spend) by end of 2017-18 (BUDGETED)  </v>
      </c>
      <c r="C181" s="51">
        <f>C170</f>
        <v>123781640.61</v>
      </c>
      <c r="D181" s="29">
        <f t="shared" ref="D181:E181" si="258">D170</f>
        <v>28943921</v>
      </c>
      <c r="E181" s="29">
        <f t="shared" si="258"/>
        <v>8449342</v>
      </c>
      <c r="F181" s="29">
        <f t="shared" ref="F181:H181" si="259">F170</f>
        <v>0</v>
      </c>
      <c r="G181" s="29">
        <f t="shared" si="259"/>
        <v>31098135</v>
      </c>
      <c r="H181" s="29">
        <f t="shared" si="259"/>
        <v>3632154.22</v>
      </c>
      <c r="I181" s="29">
        <f>I170</f>
        <v>4622145.3499999996</v>
      </c>
      <c r="J181" s="29">
        <f>J170</f>
        <v>2302502.04</v>
      </c>
      <c r="K181" s="29">
        <f>K170</f>
        <v>0</v>
      </c>
      <c r="L181" s="29">
        <f t="shared" ref="L181" si="260">L170</f>
        <v>0</v>
      </c>
      <c r="M181" s="29">
        <f>M170</f>
        <v>134798</v>
      </c>
      <c r="N181" s="29">
        <f>N170</f>
        <v>9329055</v>
      </c>
      <c r="O181" s="29">
        <f t="shared" ref="O181:BG181" si="261">O170</f>
        <v>1763000</v>
      </c>
      <c r="P181" s="29">
        <f t="shared" ref="P181:U181" si="262">P170</f>
        <v>1037877</v>
      </c>
      <c r="Q181" s="29">
        <f t="shared" si="262"/>
        <v>2149117</v>
      </c>
      <c r="R181" s="29">
        <f t="shared" si="262"/>
        <v>100000</v>
      </c>
      <c r="S181" s="29">
        <f t="shared" si="262"/>
        <v>330000</v>
      </c>
      <c r="T181" s="29">
        <f t="shared" si="262"/>
        <v>705670</v>
      </c>
      <c r="U181" s="29">
        <f t="shared" si="262"/>
        <v>75000</v>
      </c>
      <c r="V181" s="29">
        <f t="shared" si="261"/>
        <v>544500</v>
      </c>
      <c r="W181" s="29">
        <f t="shared" ref="W181:AH181" si="263">W170</f>
        <v>153906</v>
      </c>
      <c r="X181" s="29">
        <f t="shared" si="263"/>
        <v>30900</v>
      </c>
      <c r="Y181" s="29">
        <f t="shared" si="263"/>
        <v>0</v>
      </c>
      <c r="Z181" s="29">
        <f t="shared" si="263"/>
        <v>2126518</v>
      </c>
      <c r="AA181" s="29">
        <f t="shared" si="263"/>
        <v>230000</v>
      </c>
      <c r="AB181" s="29">
        <f t="shared" si="263"/>
        <v>0</v>
      </c>
      <c r="AC181" s="29">
        <f t="shared" si="263"/>
        <v>0</v>
      </c>
      <c r="AD181" s="29">
        <f t="shared" si="263"/>
        <v>786424</v>
      </c>
      <c r="AE181" s="29">
        <f t="shared" si="263"/>
        <v>1089011</v>
      </c>
      <c r="AF181" s="29">
        <f t="shared" si="263"/>
        <v>0</v>
      </c>
      <c r="AG181" s="29">
        <f t="shared" si="263"/>
        <v>81269</v>
      </c>
      <c r="AH181" s="29">
        <f t="shared" si="263"/>
        <v>36546</v>
      </c>
      <c r="AI181" s="29">
        <f>AI170</f>
        <v>511284</v>
      </c>
      <c r="AJ181" s="29">
        <f>AJ170</f>
        <v>0</v>
      </c>
      <c r="AK181" s="29">
        <f>AK170</f>
        <v>16829</v>
      </c>
      <c r="AL181" s="29">
        <f t="shared" si="261"/>
        <v>106717</v>
      </c>
      <c r="AM181" s="29">
        <f>AM170</f>
        <v>631648</v>
      </c>
      <c r="AN181" s="29">
        <f>AN170</f>
        <v>121008</v>
      </c>
      <c r="AO181" s="29">
        <f>AO170</f>
        <v>20000</v>
      </c>
      <c r="AP181" s="29">
        <f t="shared" ref="AP181" si="264">AP170</f>
        <v>0</v>
      </c>
      <c r="AQ181" s="29">
        <f t="shared" ref="AQ181:AX181" si="265">AQ170</f>
        <v>0</v>
      </c>
      <c r="AR181" s="29">
        <f t="shared" si="265"/>
        <v>371881</v>
      </c>
      <c r="AS181" s="29">
        <f t="shared" si="265"/>
        <v>930212</v>
      </c>
      <c r="AT181" s="29">
        <f t="shared" si="265"/>
        <v>0</v>
      </c>
      <c r="AU181" s="29">
        <f t="shared" si="265"/>
        <v>0</v>
      </c>
      <c r="AV181" s="29">
        <f t="shared" si="265"/>
        <v>0</v>
      </c>
      <c r="AW181" s="29">
        <f t="shared" si="265"/>
        <v>2076080</v>
      </c>
      <c r="AX181" s="29">
        <f t="shared" si="265"/>
        <v>83795</v>
      </c>
      <c r="AY181" s="29">
        <f t="shared" ref="AY181" si="266">AY170</f>
        <v>0</v>
      </c>
      <c r="AZ181" s="29">
        <f t="shared" ref="AZ181" si="267">AZ170</f>
        <v>2595500</v>
      </c>
      <c r="BA181" s="29">
        <f t="shared" ref="BA181:BB181" si="268">BA170</f>
        <v>888250</v>
      </c>
      <c r="BB181" s="29">
        <f t="shared" si="268"/>
        <v>1239868</v>
      </c>
      <c r="BC181" s="29">
        <f>BC170</f>
        <v>523278</v>
      </c>
      <c r="BD181" s="180">
        <f>BD170</f>
        <v>1452458</v>
      </c>
      <c r="BE181" s="29">
        <f>BE170</f>
        <v>0</v>
      </c>
      <c r="BF181" s="29">
        <f t="shared" si="261"/>
        <v>1210355</v>
      </c>
      <c r="BG181" s="29">
        <f t="shared" si="261"/>
        <v>1000000</v>
      </c>
      <c r="BH181" s="29">
        <f t="shared" ref="BH181:BI181" si="269">BH170</f>
        <v>108135</v>
      </c>
      <c r="BI181" s="29">
        <f t="shared" si="269"/>
        <v>0</v>
      </c>
      <c r="BJ181" s="29">
        <f>BJ170</f>
        <v>1105326</v>
      </c>
      <c r="BK181" s="29">
        <f>BK170</f>
        <v>0</v>
      </c>
      <c r="BL181" s="29">
        <f t="shared" ref="BL181" si="270">BL170</f>
        <v>149262</v>
      </c>
      <c r="BM181" s="29">
        <f t="shared" ref="BM181:BP181" si="271">BM170</f>
        <v>0</v>
      </c>
      <c r="BN181" s="29">
        <f t="shared" si="271"/>
        <v>0</v>
      </c>
      <c r="BO181" s="29">
        <f t="shared" si="271"/>
        <v>0</v>
      </c>
      <c r="BP181" s="29">
        <f t="shared" si="271"/>
        <v>0</v>
      </c>
      <c r="BQ181" s="29">
        <f t="shared" ref="BQ181:BT181" si="272">BQ170</f>
        <v>0</v>
      </c>
      <c r="BR181" s="29">
        <f t="shared" si="272"/>
        <v>0</v>
      </c>
      <c r="BS181" s="29">
        <f t="shared" si="272"/>
        <v>0</v>
      </c>
      <c r="BT181" s="29">
        <f t="shared" si="272"/>
        <v>0</v>
      </c>
      <c r="BU181" s="29">
        <f>BU170</f>
        <v>0</v>
      </c>
      <c r="BV181" s="29">
        <f>BV170</f>
        <v>0</v>
      </c>
      <c r="BW181" s="29">
        <f>BW170</f>
        <v>1645943</v>
      </c>
      <c r="BX181" s="29">
        <f>BX170</f>
        <v>786362</v>
      </c>
      <c r="BY181" s="29">
        <f>BY170</f>
        <v>35369</v>
      </c>
      <c r="BZ181" s="29">
        <f t="shared" ref="BZ181" si="273">BZ170</f>
        <v>0</v>
      </c>
      <c r="CA181" s="29">
        <f>CA170</f>
        <v>75002</v>
      </c>
      <c r="CB181" s="29">
        <f t="shared" ref="CB181" si="274">CB170</f>
        <v>210026</v>
      </c>
      <c r="CC181" s="29">
        <f>CC170</f>
        <v>10000</v>
      </c>
      <c r="CD181" s="29">
        <f>CD170</f>
        <v>112315</v>
      </c>
      <c r="CE181" s="29">
        <f t="shared" ref="CE181" si="275">CE170</f>
        <v>246407</v>
      </c>
      <c r="CF181" s="29">
        <f>CF170</f>
        <v>191359</v>
      </c>
      <c r="CG181" s="29">
        <f t="shared" ref="CG181" si="276">CG170</f>
        <v>339057</v>
      </c>
      <c r="CH181" s="29">
        <f t="shared" ref="CH181:CK181" si="277">CH170</f>
        <v>1369987</v>
      </c>
      <c r="CI181" s="29">
        <f t="shared" si="277"/>
        <v>1638687</v>
      </c>
      <c r="CJ181" s="29">
        <f t="shared" si="277"/>
        <v>1636956</v>
      </c>
      <c r="CK181" s="29">
        <f t="shared" si="277"/>
        <v>99000</v>
      </c>
      <c r="CL181" s="29">
        <f t="shared" ref="CL181" si="278">CL170</f>
        <v>198200</v>
      </c>
      <c r="CM181" s="29">
        <f t="shared" ref="CM181" si="279">CM170</f>
        <v>102032</v>
      </c>
      <c r="CN181" s="29">
        <f t="shared" ref="CN181" si="280">CN170</f>
        <v>0</v>
      </c>
      <c r="CO181" s="29">
        <f t="shared" ref="CO181:CU181" si="281">CO170</f>
        <v>0</v>
      </c>
      <c r="CP181" s="29">
        <f t="shared" si="281"/>
        <v>16161</v>
      </c>
      <c r="CQ181" s="29">
        <f t="shared" si="281"/>
        <v>50000</v>
      </c>
      <c r="CR181" s="29">
        <f t="shared" si="281"/>
        <v>125101</v>
      </c>
      <c r="CS181" s="29">
        <f t="shared" si="281"/>
        <v>0</v>
      </c>
      <c r="CT181" s="29">
        <f t="shared" si="281"/>
        <v>0</v>
      </c>
      <c r="CU181" s="361">
        <f t="shared" si="281"/>
        <v>0</v>
      </c>
      <c r="CV181" s="189"/>
    </row>
    <row r="182" spans="1:100" ht="25.5" x14ac:dyDescent="0.2">
      <c r="A182" s="23"/>
      <c r="B182" s="362" t="str">
        <f>B42</f>
        <v xml:space="preserve">Prior to receiving these report guidelines, did the agency have a comprehensive strategic plan? </v>
      </c>
      <c r="C182" s="173"/>
      <c r="D182" s="174" t="s">
        <v>19</v>
      </c>
      <c r="E182" s="174" t="s">
        <v>19</v>
      </c>
      <c r="F182" s="174" t="s">
        <v>19</v>
      </c>
      <c r="G182" s="174" t="s">
        <v>19</v>
      </c>
      <c r="H182" s="174" t="s">
        <v>19</v>
      </c>
      <c r="I182" s="174" t="s">
        <v>19</v>
      </c>
      <c r="J182" s="174" t="s">
        <v>19</v>
      </c>
      <c r="K182" s="174" t="s">
        <v>19</v>
      </c>
      <c r="L182" s="174" t="s">
        <v>19</v>
      </c>
      <c r="M182" s="174" t="s">
        <v>19</v>
      </c>
      <c r="N182" s="174" t="s">
        <v>19</v>
      </c>
      <c r="O182" s="174" t="s">
        <v>19</v>
      </c>
      <c r="P182" s="174" t="s">
        <v>19</v>
      </c>
      <c r="Q182" s="174" t="s">
        <v>19</v>
      </c>
      <c r="R182" s="174" t="s">
        <v>19</v>
      </c>
      <c r="S182" s="174" t="s">
        <v>19</v>
      </c>
      <c r="T182" s="174" t="s">
        <v>19</v>
      </c>
      <c r="U182" s="174" t="s">
        <v>19</v>
      </c>
      <c r="V182" s="174" t="s">
        <v>19</v>
      </c>
      <c r="W182" s="174" t="s">
        <v>19</v>
      </c>
      <c r="X182" s="174" t="s">
        <v>19</v>
      </c>
      <c r="Y182" s="174" t="s">
        <v>19</v>
      </c>
      <c r="Z182" s="174" t="s">
        <v>19</v>
      </c>
      <c r="AA182" s="174" t="s">
        <v>19</v>
      </c>
      <c r="AB182" s="174" t="s">
        <v>19</v>
      </c>
      <c r="AC182" s="174" t="s">
        <v>19</v>
      </c>
      <c r="AD182" s="174" t="s">
        <v>19</v>
      </c>
      <c r="AE182" s="174" t="s">
        <v>19</v>
      </c>
      <c r="AF182" s="174" t="s">
        <v>19</v>
      </c>
      <c r="AG182" s="174" t="s">
        <v>19</v>
      </c>
      <c r="AH182" s="174" t="s">
        <v>19</v>
      </c>
      <c r="AI182" s="174" t="s">
        <v>19</v>
      </c>
      <c r="AJ182" s="174" t="s">
        <v>19</v>
      </c>
      <c r="AK182" s="174" t="s">
        <v>19</v>
      </c>
      <c r="AL182" s="174" t="s">
        <v>19</v>
      </c>
      <c r="AM182" s="174" t="s">
        <v>19</v>
      </c>
      <c r="AN182" s="174" t="s">
        <v>19</v>
      </c>
      <c r="AO182" s="174" t="s">
        <v>19</v>
      </c>
      <c r="AP182" s="174" t="s">
        <v>19</v>
      </c>
      <c r="AQ182" s="174" t="s">
        <v>19</v>
      </c>
      <c r="AR182" s="174" t="s">
        <v>19</v>
      </c>
      <c r="AS182" s="174" t="s">
        <v>19</v>
      </c>
      <c r="AT182" s="174" t="s">
        <v>19</v>
      </c>
      <c r="AU182" s="174" t="s">
        <v>19</v>
      </c>
      <c r="AV182" s="174" t="s">
        <v>19</v>
      </c>
      <c r="AW182" s="174" t="s">
        <v>19</v>
      </c>
      <c r="AX182" s="174" t="s">
        <v>19</v>
      </c>
      <c r="AY182" s="174" t="s">
        <v>19</v>
      </c>
      <c r="AZ182" s="174" t="s">
        <v>19</v>
      </c>
      <c r="BA182" s="174" t="s">
        <v>19</v>
      </c>
      <c r="BB182" s="174" t="s">
        <v>19</v>
      </c>
      <c r="BC182" s="174" t="s">
        <v>19</v>
      </c>
      <c r="BD182" s="175" t="s">
        <v>19</v>
      </c>
      <c r="BE182" s="174" t="s">
        <v>19</v>
      </c>
      <c r="BF182" s="174" t="s">
        <v>19</v>
      </c>
      <c r="BG182" s="174" t="s">
        <v>19</v>
      </c>
      <c r="BH182" s="174" t="s">
        <v>19</v>
      </c>
      <c r="BI182" s="174" t="s">
        <v>19</v>
      </c>
      <c r="BJ182" s="174" t="s">
        <v>19</v>
      </c>
      <c r="BK182" s="174" t="s">
        <v>19</v>
      </c>
      <c r="BL182" s="174" t="s">
        <v>19</v>
      </c>
      <c r="BM182" s="174" t="s">
        <v>19</v>
      </c>
      <c r="BN182" s="174" t="s">
        <v>19</v>
      </c>
      <c r="BO182" s="174" t="s">
        <v>19</v>
      </c>
      <c r="BP182" s="174" t="s">
        <v>19</v>
      </c>
      <c r="BQ182" s="174" t="s">
        <v>19</v>
      </c>
      <c r="BR182" s="174" t="s">
        <v>19</v>
      </c>
      <c r="BS182" s="174" t="s">
        <v>19</v>
      </c>
      <c r="BT182" s="174" t="s">
        <v>19</v>
      </c>
      <c r="BU182" s="174" t="s">
        <v>19</v>
      </c>
      <c r="BV182" s="174" t="s">
        <v>19</v>
      </c>
      <c r="BW182" s="174" t="s">
        <v>19</v>
      </c>
      <c r="BX182" s="174" t="s">
        <v>19</v>
      </c>
      <c r="BY182" s="174" t="s">
        <v>19</v>
      </c>
      <c r="BZ182" s="174" t="s">
        <v>19</v>
      </c>
      <c r="CA182" s="174" t="s">
        <v>19</v>
      </c>
      <c r="CB182" s="174" t="s">
        <v>19</v>
      </c>
      <c r="CC182" s="174" t="s">
        <v>19</v>
      </c>
      <c r="CD182" s="174" t="s">
        <v>19</v>
      </c>
      <c r="CE182" s="174" t="s">
        <v>19</v>
      </c>
      <c r="CF182" s="174" t="s">
        <v>19</v>
      </c>
      <c r="CG182" s="174" t="s">
        <v>19</v>
      </c>
      <c r="CH182" s="174" t="s">
        <v>19</v>
      </c>
      <c r="CI182" s="174" t="s">
        <v>19</v>
      </c>
      <c r="CJ182" s="174" t="s">
        <v>19</v>
      </c>
      <c r="CK182" s="174" t="s">
        <v>19</v>
      </c>
      <c r="CL182" s="174" t="s">
        <v>19</v>
      </c>
      <c r="CM182" s="174" t="s">
        <v>19</v>
      </c>
      <c r="CN182" s="174" t="s">
        <v>19</v>
      </c>
      <c r="CO182" s="174" t="s">
        <v>19</v>
      </c>
      <c r="CP182" s="174" t="s">
        <v>19</v>
      </c>
      <c r="CQ182" s="174" t="s">
        <v>19</v>
      </c>
      <c r="CR182" s="174" t="s">
        <v>19</v>
      </c>
      <c r="CS182" s="174" t="s">
        <v>19</v>
      </c>
      <c r="CT182" s="174" t="s">
        <v>19</v>
      </c>
      <c r="CU182" s="363" t="s">
        <v>19</v>
      </c>
      <c r="CV182" s="189"/>
    </row>
    <row r="183" spans="1:100" ht="72" customHeight="1" x14ac:dyDescent="0.2">
      <c r="A183" s="4" t="s">
        <v>1023</v>
      </c>
      <c r="B183" s="364" t="s">
        <v>1072</v>
      </c>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193"/>
      <c r="AT183" s="193"/>
      <c r="AU183" s="193"/>
      <c r="AV183" s="193"/>
      <c r="AW183" s="193"/>
      <c r="AX183" s="193"/>
      <c r="AY183" s="193"/>
      <c r="AZ183" s="193"/>
      <c r="BA183" s="193"/>
      <c r="BB183" s="193"/>
      <c r="BC183" s="193"/>
      <c r="BD183" s="194"/>
      <c r="BE183" s="193"/>
      <c r="BF183" s="193"/>
      <c r="BG183" s="193"/>
      <c r="BH183" s="193"/>
      <c r="BI183" s="193"/>
      <c r="BJ183" s="193"/>
      <c r="BK183" s="193"/>
      <c r="BL183" s="193"/>
      <c r="BM183" s="193"/>
      <c r="BN183" s="193"/>
      <c r="BO183" s="193"/>
      <c r="BP183" s="193"/>
      <c r="BQ183" s="193"/>
      <c r="BR183" s="193"/>
      <c r="BS183" s="193"/>
      <c r="BT183" s="193"/>
      <c r="BU183" s="193"/>
      <c r="BV183" s="193"/>
      <c r="BW183" s="193"/>
      <c r="BX183" s="193"/>
      <c r="BY183" s="193"/>
      <c r="BZ183" s="193"/>
      <c r="CA183" s="193"/>
      <c r="CB183" s="193"/>
      <c r="CC183" s="193"/>
      <c r="CD183" s="193"/>
      <c r="CE183" s="193"/>
      <c r="CF183" s="193"/>
      <c r="CG183" s="193"/>
      <c r="CH183" s="193"/>
      <c r="CI183" s="193"/>
      <c r="CJ183" s="193"/>
      <c r="CK183" s="193"/>
      <c r="CL183" s="193"/>
      <c r="CM183" s="193"/>
      <c r="CN183" s="193"/>
      <c r="CO183" s="193"/>
      <c r="CP183" s="193"/>
      <c r="CQ183" s="193"/>
      <c r="CR183" s="193"/>
      <c r="CS183" s="193"/>
      <c r="CT183" s="193"/>
      <c r="CU183" s="365"/>
      <c r="CV183" s="189"/>
    </row>
    <row r="184" spans="1:100" ht="70.5" customHeight="1" x14ac:dyDescent="0.2">
      <c r="A184" s="4" t="s">
        <v>1030</v>
      </c>
      <c r="B184" s="366" t="s">
        <v>1073</v>
      </c>
      <c r="C184" s="191"/>
      <c r="D184" s="191"/>
      <c r="E184" s="191"/>
      <c r="F184" s="191"/>
      <c r="G184" s="191"/>
      <c r="H184" s="191"/>
      <c r="I184" s="191"/>
      <c r="J184" s="191"/>
      <c r="K184" s="191"/>
      <c r="L184" s="191"/>
      <c r="M184" s="191"/>
      <c r="N184" s="191"/>
      <c r="O184" s="191"/>
      <c r="P184" s="191"/>
      <c r="Q184" s="191"/>
      <c r="R184" s="191"/>
      <c r="S184" s="191"/>
      <c r="T184" s="191"/>
      <c r="U184" s="191"/>
      <c r="V184" s="191"/>
      <c r="W184" s="191"/>
      <c r="X184" s="191"/>
      <c r="Y184" s="191"/>
      <c r="Z184" s="191"/>
      <c r="AA184" s="191"/>
      <c r="AB184" s="191"/>
      <c r="AC184" s="191"/>
      <c r="AD184" s="191"/>
      <c r="AE184" s="191"/>
      <c r="AF184" s="191"/>
      <c r="AG184" s="191"/>
      <c r="AH184" s="191"/>
      <c r="AI184" s="191"/>
      <c r="AJ184" s="191"/>
      <c r="AK184" s="191"/>
      <c r="AL184" s="191"/>
      <c r="AM184" s="191"/>
      <c r="AN184" s="191"/>
      <c r="AO184" s="191"/>
      <c r="AP184" s="191"/>
      <c r="AQ184" s="191"/>
      <c r="AR184" s="191"/>
      <c r="AS184" s="191"/>
      <c r="AT184" s="191"/>
      <c r="AU184" s="191"/>
      <c r="AV184" s="191"/>
      <c r="AW184" s="191"/>
      <c r="AX184" s="191"/>
      <c r="AY184" s="191"/>
      <c r="AZ184" s="191"/>
      <c r="BA184" s="191"/>
      <c r="BB184" s="191"/>
      <c r="BC184" s="191"/>
      <c r="BD184" s="192"/>
      <c r="BE184" s="191"/>
      <c r="BF184" s="191"/>
      <c r="BG184" s="191"/>
      <c r="BH184" s="191"/>
      <c r="BI184" s="191"/>
      <c r="BJ184" s="191"/>
      <c r="BK184" s="191"/>
      <c r="BL184" s="191"/>
      <c r="BM184" s="191"/>
      <c r="BN184" s="191"/>
      <c r="BO184" s="191"/>
      <c r="BP184" s="191"/>
      <c r="BQ184" s="191"/>
      <c r="BR184" s="191"/>
      <c r="BS184" s="191"/>
      <c r="BT184" s="191"/>
      <c r="BU184" s="191"/>
      <c r="BV184" s="191"/>
      <c r="BW184" s="191"/>
      <c r="BX184" s="191"/>
      <c r="BY184" s="191"/>
      <c r="BZ184" s="191"/>
      <c r="CA184" s="191"/>
      <c r="CB184" s="191"/>
      <c r="CC184" s="191"/>
      <c r="CD184" s="191"/>
      <c r="CE184" s="191"/>
      <c r="CF184" s="191"/>
      <c r="CG184" s="191"/>
      <c r="CH184" s="191"/>
      <c r="CI184" s="191"/>
      <c r="CJ184" s="191"/>
      <c r="CK184" s="191"/>
      <c r="CL184" s="191"/>
      <c r="CM184" s="191"/>
      <c r="CN184" s="191"/>
      <c r="CO184" s="191"/>
      <c r="CP184" s="191"/>
      <c r="CQ184" s="191"/>
      <c r="CR184" s="191"/>
      <c r="CS184" s="191"/>
      <c r="CT184" s="191"/>
      <c r="CU184" s="367"/>
      <c r="CV184" s="189"/>
    </row>
    <row r="185" spans="1:100" ht="51" x14ac:dyDescent="0.2">
      <c r="A185" s="4" t="s">
        <v>1045</v>
      </c>
      <c r="B185" s="368" t="s">
        <v>1075</v>
      </c>
      <c r="C185" s="84">
        <f>SUM(D185:DX185)</f>
        <v>1663833.04</v>
      </c>
      <c r="D185" s="29">
        <v>828681</v>
      </c>
      <c r="E185" s="29">
        <v>200000</v>
      </c>
      <c r="F185" s="29">
        <v>0</v>
      </c>
      <c r="G185" s="29">
        <v>129666</v>
      </c>
      <c r="H185" s="29">
        <v>0</v>
      </c>
      <c r="I185" s="29">
        <v>0</v>
      </c>
      <c r="J185" s="29">
        <v>0</v>
      </c>
      <c r="K185" s="29">
        <v>0</v>
      </c>
      <c r="L185" s="29">
        <v>0</v>
      </c>
      <c r="M185" s="29">
        <v>0</v>
      </c>
      <c r="N185" s="29">
        <v>0</v>
      </c>
      <c r="O185" s="29">
        <v>0</v>
      </c>
      <c r="P185" s="29">
        <v>0</v>
      </c>
      <c r="Q185" s="29">
        <v>0</v>
      </c>
      <c r="R185" s="29">
        <v>0</v>
      </c>
      <c r="S185" s="29">
        <v>0</v>
      </c>
      <c r="T185" s="29">
        <v>0</v>
      </c>
      <c r="U185" s="29">
        <v>0</v>
      </c>
      <c r="V185" s="29">
        <v>0</v>
      </c>
      <c r="W185" s="29">
        <v>0</v>
      </c>
      <c r="X185" s="29">
        <v>0</v>
      </c>
      <c r="Y185" s="29">
        <v>0</v>
      </c>
      <c r="Z185" s="29">
        <v>0</v>
      </c>
      <c r="AA185" s="29">
        <v>0</v>
      </c>
      <c r="AB185" s="29">
        <v>0</v>
      </c>
      <c r="AC185" s="29">
        <v>0</v>
      </c>
      <c r="AD185" s="29">
        <v>0</v>
      </c>
      <c r="AE185" s="29">
        <v>0</v>
      </c>
      <c r="AF185" s="29">
        <v>0</v>
      </c>
      <c r="AG185" s="29">
        <v>0</v>
      </c>
      <c r="AH185" s="29">
        <v>0</v>
      </c>
      <c r="AI185" s="29">
        <v>0</v>
      </c>
      <c r="AJ185" s="29">
        <v>0</v>
      </c>
      <c r="AK185" s="29">
        <v>0</v>
      </c>
      <c r="AL185" s="29">
        <v>4000</v>
      </c>
      <c r="AM185" s="29">
        <v>0</v>
      </c>
      <c r="AN185" s="29">
        <v>6830.04</v>
      </c>
      <c r="AO185" s="29">
        <v>0</v>
      </c>
      <c r="AP185" s="29">
        <v>494656</v>
      </c>
      <c r="AQ185" s="29">
        <v>0</v>
      </c>
      <c r="AR185" s="29">
        <v>0</v>
      </c>
      <c r="AS185" s="29">
        <v>0</v>
      </c>
      <c r="AT185" s="29">
        <v>0</v>
      </c>
      <c r="AU185" s="29">
        <v>0</v>
      </c>
      <c r="AV185" s="29">
        <v>0</v>
      </c>
      <c r="AW185" s="29">
        <v>0</v>
      </c>
      <c r="AX185" s="29">
        <v>0</v>
      </c>
      <c r="AY185" s="29">
        <v>0</v>
      </c>
      <c r="AZ185" s="29">
        <v>0</v>
      </c>
      <c r="BA185" s="29">
        <v>0</v>
      </c>
      <c r="BB185" s="29">
        <v>0</v>
      </c>
      <c r="BC185" s="29">
        <v>0</v>
      </c>
      <c r="BD185" s="180">
        <v>0</v>
      </c>
      <c r="BE185" s="29">
        <v>0</v>
      </c>
      <c r="BF185" s="29">
        <v>0</v>
      </c>
      <c r="BG185" s="29">
        <v>0</v>
      </c>
      <c r="BH185" s="29">
        <v>0</v>
      </c>
      <c r="BI185" s="29">
        <v>0</v>
      </c>
      <c r="BJ185" s="29">
        <v>0</v>
      </c>
      <c r="BK185" s="29">
        <v>0</v>
      </c>
      <c r="BL185" s="29">
        <v>0</v>
      </c>
      <c r="BM185" s="29">
        <v>0</v>
      </c>
      <c r="BN185" s="29">
        <v>0</v>
      </c>
      <c r="BO185" s="29">
        <v>0</v>
      </c>
      <c r="BP185" s="29">
        <v>0</v>
      </c>
      <c r="BQ185" s="29">
        <v>0</v>
      </c>
      <c r="BR185" s="29">
        <v>0</v>
      </c>
      <c r="BS185" s="29">
        <v>0</v>
      </c>
      <c r="BT185" s="29">
        <v>0</v>
      </c>
      <c r="BU185" s="29">
        <v>0</v>
      </c>
      <c r="BV185" s="29">
        <v>0</v>
      </c>
      <c r="BW185" s="29">
        <v>0</v>
      </c>
      <c r="BX185" s="29">
        <v>0</v>
      </c>
      <c r="BY185" s="29">
        <v>0</v>
      </c>
      <c r="BZ185" s="29">
        <v>0</v>
      </c>
      <c r="CA185" s="29">
        <v>0</v>
      </c>
      <c r="CB185" s="29">
        <v>0</v>
      </c>
      <c r="CC185" s="29">
        <v>0</v>
      </c>
      <c r="CD185" s="29">
        <v>0</v>
      </c>
      <c r="CE185" s="29">
        <v>0</v>
      </c>
      <c r="CF185" s="29">
        <v>0</v>
      </c>
      <c r="CG185" s="29">
        <v>0</v>
      </c>
      <c r="CH185" s="29">
        <v>0</v>
      </c>
      <c r="CI185" s="29">
        <v>0</v>
      </c>
      <c r="CJ185" s="29">
        <v>0</v>
      </c>
      <c r="CK185" s="29">
        <v>0</v>
      </c>
      <c r="CL185" s="29">
        <v>0</v>
      </c>
      <c r="CM185" s="29">
        <v>0</v>
      </c>
      <c r="CN185" s="29">
        <v>0</v>
      </c>
      <c r="CO185" s="29">
        <v>0</v>
      </c>
      <c r="CP185" s="29">
        <v>0</v>
      </c>
      <c r="CQ185" s="29">
        <v>0</v>
      </c>
      <c r="CR185" s="29">
        <v>0</v>
      </c>
      <c r="CS185" s="29">
        <v>0</v>
      </c>
      <c r="CT185" s="29">
        <v>0</v>
      </c>
      <c r="CU185" s="361">
        <v>0</v>
      </c>
      <c r="CV185" s="189"/>
    </row>
    <row r="186" spans="1:100" ht="38.25" x14ac:dyDescent="0.2">
      <c r="A186" s="4" t="s">
        <v>1044</v>
      </c>
      <c r="B186" s="368" t="s">
        <v>1076</v>
      </c>
      <c r="C186" s="84">
        <f>SUM(D186:DX186)</f>
        <v>1053564.71</v>
      </c>
      <c r="D186" s="29">
        <v>551340</v>
      </c>
      <c r="E186" s="29">
        <v>38000</v>
      </c>
      <c r="F186" s="29">
        <v>0</v>
      </c>
      <c r="G186" s="29">
        <v>392420</v>
      </c>
      <c r="H186" s="29">
        <v>0</v>
      </c>
      <c r="I186" s="29">
        <v>0</v>
      </c>
      <c r="J186" s="29">
        <v>0</v>
      </c>
      <c r="K186" s="29">
        <v>0</v>
      </c>
      <c r="L186" s="29">
        <v>0</v>
      </c>
      <c r="M186" s="29">
        <v>0</v>
      </c>
      <c r="N186" s="29">
        <v>0</v>
      </c>
      <c r="O186" s="29">
        <v>0</v>
      </c>
      <c r="P186" s="29">
        <v>0</v>
      </c>
      <c r="Q186" s="29">
        <v>0</v>
      </c>
      <c r="R186" s="29">
        <v>0</v>
      </c>
      <c r="S186" s="29">
        <v>0</v>
      </c>
      <c r="T186" s="29">
        <v>0</v>
      </c>
      <c r="U186" s="29">
        <v>0</v>
      </c>
      <c r="V186" s="29">
        <v>0</v>
      </c>
      <c r="W186" s="29">
        <v>0</v>
      </c>
      <c r="X186" s="29">
        <v>0</v>
      </c>
      <c r="Y186" s="29">
        <v>0</v>
      </c>
      <c r="Z186" s="29">
        <v>0</v>
      </c>
      <c r="AA186" s="29">
        <v>0</v>
      </c>
      <c r="AB186" s="29">
        <v>0</v>
      </c>
      <c r="AC186" s="29">
        <v>0</v>
      </c>
      <c r="AD186" s="29">
        <v>0</v>
      </c>
      <c r="AE186" s="29">
        <v>0</v>
      </c>
      <c r="AF186" s="29">
        <v>0</v>
      </c>
      <c r="AG186" s="29">
        <v>0</v>
      </c>
      <c r="AH186" s="29">
        <v>0</v>
      </c>
      <c r="AI186" s="29">
        <v>0</v>
      </c>
      <c r="AJ186" s="29">
        <v>0</v>
      </c>
      <c r="AK186" s="29">
        <v>0</v>
      </c>
      <c r="AL186" s="29">
        <v>0</v>
      </c>
      <c r="AM186" s="29">
        <v>0</v>
      </c>
      <c r="AN186" s="29">
        <v>59095.43</v>
      </c>
      <c r="AO186" s="29">
        <v>12709.28</v>
      </c>
      <c r="AP186" s="29">
        <v>0</v>
      </c>
      <c r="AQ186" s="29">
        <v>0</v>
      </c>
      <c r="AR186" s="29">
        <v>0</v>
      </c>
      <c r="AS186" s="29">
        <v>0</v>
      </c>
      <c r="AT186" s="29">
        <v>0</v>
      </c>
      <c r="AU186" s="29">
        <v>0</v>
      </c>
      <c r="AV186" s="29">
        <v>0</v>
      </c>
      <c r="AW186" s="29">
        <v>0</v>
      </c>
      <c r="AX186" s="29">
        <v>0</v>
      </c>
      <c r="AY186" s="29">
        <v>0</v>
      </c>
      <c r="AZ186" s="29">
        <v>0</v>
      </c>
      <c r="BA186" s="29">
        <v>0</v>
      </c>
      <c r="BB186" s="29">
        <v>0</v>
      </c>
      <c r="BC186" s="29">
        <v>0</v>
      </c>
      <c r="BD186" s="180">
        <v>0</v>
      </c>
      <c r="BE186" s="29">
        <v>0</v>
      </c>
      <c r="BF186" s="29">
        <v>0</v>
      </c>
      <c r="BG186" s="29">
        <v>0</v>
      </c>
      <c r="BH186" s="29">
        <v>0</v>
      </c>
      <c r="BI186" s="29">
        <v>0</v>
      </c>
      <c r="BJ186" s="29">
        <v>0</v>
      </c>
      <c r="BK186" s="29">
        <v>0</v>
      </c>
      <c r="BL186" s="29">
        <v>0</v>
      </c>
      <c r="BM186" s="29">
        <v>0</v>
      </c>
      <c r="BN186" s="29">
        <v>0</v>
      </c>
      <c r="BO186" s="29">
        <v>0</v>
      </c>
      <c r="BP186" s="29">
        <v>0</v>
      </c>
      <c r="BQ186" s="29">
        <v>0</v>
      </c>
      <c r="BR186" s="29">
        <v>0</v>
      </c>
      <c r="BS186" s="29">
        <v>0</v>
      </c>
      <c r="BT186" s="29">
        <v>0</v>
      </c>
      <c r="BU186" s="29">
        <v>0</v>
      </c>
      <c r="BV186" s="29">
        <v>0</v>
      </c>
      <c r="BW186" s="29">
        <v>0</v>
      </c>
      <c r="BX186" s="29">
        <v>0</v>
      </c>
      <c r="BY186" s="29">
        <v>0</v>
      </c>
      <c r="BZ186" s="29">
        <v>0</v>
      </c>
      <c r="CA186" s="29">
        <v>0</v>
      </c>
      <c r="CB186" s="29">
        <v>0</v>
      </c>
      <c r="CC186" s="29">
        <v>0</v>
      </c>
      <c r="CD186" s="29">
        <v>0</v>
      </c>
      <c r="CE186" s="29">
        <v>0</v>
      </c>
      <c r="CF186" s="29">
        <v>0</v>
      </c>
      <c r="CG186" s="29">
        <v>0</v>
      </c>
      <c r="CH186" s="29">
        <v>0</v>
      </c>
      <c r="CI186" s="29">
        <v>0</v>
      </c>
      <c r="CJ186" s="29">
        <v>0</v>
      </c>
      <c r="CK186" s="29">
        <v>0</v>
      </c>
      <c r="CL186" s="29">
        <v>0</v>
      </c>
      <c r="CM186" s="29">
        <v>0</v>
      </c>
      <c r="CN186" s="29">
        <v>0</v>
      </c>
      <c r="CO186" s="29">
        <v>0</v>
      </c>
      <c r="CP186" s="29">
        <v>0</v>
      </c>
      <c r="CQ186" s="29">
        <v>0</v>
      </c>
      <c r="CR186" s="29">
        <v>0</v>
      </c>
      <c r="CS186" s="29">
        <v>0</v>
      </c>
      <c r="CT186" s="29">
        <v>0</v>
      </c>
      <c r="CU186" s="361">
        <v>0</v>
      </c>
      <c r="CV186" s="189"/>
    </row>
    <row r="187" spans="1:100" ht="38.25" x14ac:dyDescent="0.2">
      <c r="A187" s="4" t="s">
        <v>1043</v>
      </c>
      <c r="B187" s="369" t="s">
        <v>1077</v>
      </c>
      <c r="C187" s="84">
        <f>SUM(D187:DX187)</f>
        <v>105154.04</v>
      </c>
      <c r="D187" s="29">
        <v>93824</v>
      </c>
      <c r="E187" s="29">
        <v>4500</v>
      </c>
      <c r="F187" s="29">
        <v>0</v>
      </c>
      <c r="G187" s="29">
        <v>0</v>
      </c>
      <c r="H187" s="29">
        <v>0</v>
      </c>
      <c r="I187" s="29">
        <v>0</v>
      </c>
      <c r="J187" s="29">
        <v>0</v>
      </c>
      <c r="K187" s="29">
        <v>0</v>
      </c>
      <c r="L187" s="29">
        <v>0</v>
      </c>
      <c r="M187" s="29">
        <v>0</v>
      </c>
      <c r="N187" s="29">
        <v>0</v>
      </c>
      <c r="O187" s="29">
        <v>0</v>
      </c>
      <c r="P187" s="29">
        <v>0</v>
      </c>
      <c r="Q187" s="29">
        <v>0</v>
      </c>
      <c r="R187" s="29">
        <v>0</v>
      </c>
      <c r="S187" s="29">
        <v>0</v>
      </c>
      <c r="T187" s="29">
        <v>0</v>
      </c>
      <c r="U187" s="29">
        <v>0</v>
      </c>
      <c r="V187" s="29">
        <v>0</v>
      </c>
      <c r="W187" s="29">
        <v>0</v>
      </c>
      <c r="X187" s="29">
        <v>0</v>
      </c>
      <c r="Y187" s="29">
        <v>0</v>
      </c>
      <c r="Z187" s="29">
        <v>0</v>
      </c>
      <c r="AA187" s="29">
        <v>0</v>
      </c>
      <c r="AB187" s="29">
        <v>0</v>
      </c>
      <c r="AC187" s="29">
        <v>0</v>
      </c>
      <c r="AD187" s="29">
        <v>0</v>
      </c>
      <c r="AE187" s="29">
        <v>0</v>
      </c>
      <c r="AF187" s="29">
        <v>0</v>
      </c>
      <c r="AG187" s="29">
        <v>0</v>
      </c>
      <c r="AH187" s="29">
        <v>0</v>
      </c>
      <c r="AI187" s="29">
        <v>0</v>
      </c>
      <c r="AJ187" s="29">
        <v>0</v>
      </c>
      <c r="AK187" s="29">
        <v>0</v>
      </c>
      <c r="AL187" s="29">
        <v>0</v>
      </c>
      <c r="AM187" s="29">
        <v>0</v>
      </c>
      <c r="AN187" s="29">
        <v>6830.04</v>
      </c>
      <c r="AO187" s="29">
        <v>0</v>
      </c>
      <c r="AP187" s="29">
        <v>0</v>
      </c>
      <c r="AQ187" s="29">
        <v>0</v>
      </c>
      <c r="AR187" s="29">
        <v>0</v>
      </c>
      <c r="AS187" s="29">
        <v>0</v>
      </c>
      <c r="AT187" s="29">
        <v>0</v>
      </c>
      <c r="AU187" s="29">
        <v>0</v>
      </c>
      <c r="AV187" s="29">
        <v>0</v>
      </c>
      <c r="AW187" s="29">
        <v>0</v>
      </c>
      <c r="AX187" s="29">
        <v>0</v>
      </c>
      <c r="AY187" s="29">
        <v>0</v>
      </c>
      <c r="AZ187" s="29">
        <v>0</v>
      </c>
      <c r="BA187" s="29">
        <v>0</v>
      </c>
      <c r="BB187" s="29">
        <v>0</v>
      </c>
      <c r="BC187" s="29">
        <v>0</v>
      </c>
      <c r="BD187" s="180">
        <v>0</v>
      </c>
      <c r="BE187" s="29">
        <v>0</v>
      </c>
      <c r="BF187" s="29">
        <v>0</v>
      </c>
      <c r="BG187" s="29">
        <v>0</v>
      </c>
      <c r="BH187" s="29">
        <v>0</v>
      </c>
      <c r="BI187" s="29">
        <v>0</v>
      </c>
      <c r="BJ187" s="29">
        <v>0</v>
      </c>
      <c r="BK187" s="29">
        <v>0</v>
      </c>
      <c r="BL187" s="29">
        <v>0</v>
      </c>
      <c r="BM187" s="29">
        <v>0</v>
      </c>
      <c r="BN187" s="29">
        <v>0</v>
      </c>
      <c r="BO187" s="29">
        <v>0</v>
      </c>
      <c r="BP187" s="29">
        <v>0</v>
      </c>
      <c r="BQ187" s="29">
        <v>0</v>
      </c>
      <c r="BR187" s="29">
        <v>0</v>
      </c>
      <c r="BS187" s="29">
        <v>0</v>
      </c>
      <c r="BT187" s="29">
        <v>0</v>
      </c>
      <c r="BU187" s="29">
        <v>0</v>
      </c>
      <c r="BV187" s="29">
        <v>0</v>
      </c>
      <c r="BW187" s="29">
        <v>0</v>
      </c>
      <c r="BX187" s="29">
        <v>0</v>
      </c>
      <c r="BY187" s="29">
        <v>0</v>
      </c>
      <c r="BZ187" s="29">
        <v>0</v>
      </c>
      <c r="CA187" s="29">
        <v>0</v>
      </c>
      <c r="CB187" s="29">
        <v>0</v>
      </c>
      <c r="CC187" s="29">
        <v>0</v>
      </c>
      <c r="CD187" s="29">
        <v>0</v>
      </c>
      <c r="CE187" s="29">
        <v>0</v>
      </c>
      <c r="CF187" s="29">
        <v>0</v>
      </c>
      <c r="CG187" s="29">
        <v>0</v>
      </c>
      <c r="CH187" s="29">
        <v>0</v>
      </c>
      <c r="CI187" s="29">
        <v>0</v>
      </c>
      <c r="CJ187" s="29">
        <v>0</v>
      </c>
      <c r="CK187" s="29">
        <v>0</v>
      </c>
      <c r="CL187" s="29">
        <v>0</v>
      </c>
      <c r="CM187" s="29">
        <v>0</v>
      </c>
      <c r="CN187" s="29">
        <v>0</v>
      </c>
      <c r="CO187" s="29">
        <v>0</v>
      </c>
      <c r="CP187" s="29">
        <v>0</v>
      </c>
      <c r="CQ187" s="29">
        <v>0</v>
      </c>
      <c r="CR187" s="29">
        <v>0</v>
      </c>
      <c r="CS187" s="29">
        <v>0</v>
      </c>
      <c r="CT187" s="29">
        <v>0</v>
      </c>
      <c r="CU187" s="361">
        <v>0</v>
      </c>
      <c r="CV187" s="189"/>
    </row>
    <row r="188" spans="1:100" ht="51" x14ac:dyDescent="0.2">
      <c r="A188" s="4" t="s">
        <v>1023</v>
      </c>
      <c r="B188" s="366" t="s">
        <v>1074</v>
      </c>
      <c r="C188" s="191"/>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c r="AL188" s="191"/>
      <c r="AM188" s="191"/>
      <c r="AN188" s="191"/>
      <c r="AO188" s="191"/>
      <c r="AP188" s="191"/>
      <c r="AQ188" s="191"/>
      <c r="AR188" s="191"/>
      <c r="AS188" s="191"/>
      <c r="AT188" s="191"/>
      <c r="AU188" s="191"/>
      <c r="AV188" s="191"/>
      <c r="AW188" s="191"/>
      <c r="AX188" s="191"/>
      <c r="AY188" s="191"/>
      <c r="AZ188" s="191"/>
      <c r="BA188" s="191"/>
      <c r="BB188" s="191"/>
      <c r="BC188" s="191"/>
      <c r="BD188" s="192"/>
      <c r="BE188" s="191"/>
      <c r="BF188" s="191"/>
      <c r="BG188" s="191"/>
      <c r="BH188" s="191"/>
      <c r="BI188" s="191"/>
      <c r="BJ188" s="191"/>
      <c r="BK188" s="191"/>
      <c r="BL188" s="191"/>
      <c r="BM188" s="191"/>
      <c r="BN188" s="191"/>
      <c r="BO188" s="191"/>
      <c r="BP188" s="191"/>
      <c r="BQ188" s="191"/>
      <c r="BR188" s="191"/>
      <c r="BS188" s="191"/>
      <c r="BT188" s="191"/>
      <c r="BU188" s="191"/>
      <c r="BV188" s="191"/>
      <c r="BW188" s="191"/>
      <c r="BX188" s="191"/>
      <c r="BY188" s="191"/>
      <c r="BZ188" s="191"/>
      <c r="CA188" s="191"/>
      <c r="CB188" s="191"/>
      <c r="CC188" s="191"/>
      <c r="CD188" s="191"/>
      <c r="CE188" s="191"/>
      <c r="CF188" s="191"/>
      <c r="CG188" s="191"/>
      <c r="CH188" s="191"/>
      <c r="CI188" s="191"/>
      <c r="CJ188" s="191"/>
      <c r="CK188" s="191"/>
      <c r="CL188" s="191"/>
      <c r="CM188" s="191"/>
      <c r="CN188" s="191"/>
      <c r="CO188" s="191"/>
      <c r="CP188" s="191"/>
      <c r="CQ188" s="191"/>
      <c r="CR188" s="191"/>
      <c r="CS188" s="191"/>
      <c r="CT188" s="191"/>
      <c r="CU188" s="367"/>
      <c r="CV188" s="189"/>
    </row>
    <row r="189" spans="1:100" ht="38.25" x14ac:dyDescent="0.2">
      <c r="A189" s="4" t="s">
        <v>1042</v>
      </c>
      <c r="B189" s="370" t="s">
        <v>1078</v>
      </c>
      <c r="C189" s="84">
        <f>SUM(D189:DX189)</f>
        <v>292257.64999999997</v>
      </c>
      <c r="D189" s="29">
        <v>279421</v>
      </c>
      <c r="E189" s="29">
        <v>6000</v>
      </c>
      <c r="F189" s="29">
        <v>0</v>
      </c>
      <c r="G189" s="29">
        <v>0</v>
      </c>
      <c r="H189" s="29">
        <v>0</v>
      </c>
      <c r="I189" s="29">
        <v>0</v>
      </c>
      <c r="J189" s="29">
        <v>0</v>
      </c>
      <c r="K189" s="29">
        <v>0</v>
      </c>
      <c r="L189" s="29">
        <v>0</v>
      </c>
      <c r="M189" s="29">
        <v>0</v>
      </c>
      <c r="N189" s="29">
        <v>0</v>
      </c>
      <c r="O189" s="29">
        <v>0</v>
      </c>
      <c r="P189" s="29">
        <v>0</v>
      </c>
      <c r="Q189" s="29">
        <v>0</v>
      </c>
      <c r="R189" s="29">
        <v>0</v>
      </c>
      <c r="S189" s="29">
        <v>0</v>
      </c>
      <c r="T189" s="29">
        <v>0</v>
      </c>
      <c r="U189" s="29">
        <v>0</v>
      </c>
      <c r="V189" s="29">
        <v>0</v>
      </c>
      <c r="W189" s="29">
        <v>0</v>
      </c>
      <c r="X189" s="29">
        <v>0</v>
      </c>
      <c r="Y189" s="29">
        <v>0</v>
      </c>
      <c r="Z189" s="29">
        <v>0</v>
      </c>
      <c r="AA189" s="29">
        <v>0</v>
      </c>
      <c r="AB189" s="29">
        <v>0</v>
      </c>
      <c r="AC189" s="29">
        <v>0</v>
      </c>
      <c r="AD189" s="29">
        <v>0</v>
      </c>
      <c r="AE189" s="29">
        <v>0</v>
      </c>
      <c r="AF189" s="29">
        <v>0</v>
      </c>
      <c r="AG189" s="29">
        <v>0</v>
      </c>
      <c r="AH189" s="29">
        <v>0</v>
      </c>
      <c r="AI189" s="29">
        <v>0</v>
      </c>
      <c r="AJ189" s="29">
        <v>0</v>
      </c>
      <c r="AK189" s="29">
        <v>0</v>
      </c>
      <c r="AL189" s="29">
        <v>6.61</v>
      </c>
      <c r="AM189" s="29">
        <v>0</v>
      </c>
      <c r="AN189" s="29">
        <v>6830.04</v>
      </c>
      <c r="AO189" s="29">
        <v>0</v>
      </c>
      <c r="AP189" s="29">
        <v>0</v>
      </c>
      <c r="AQ189" s="29">
        <v>0</v>
      </c>
      <c r="AR189" s="29">
        <v>0</v>
      </c>
      <c r="AS189" s="29">
        <v>0</v>
      </c>
      <c r="AT189" s="29">
        <v>0</v>
      </c>
      <c r="AU189" s="29">
        <v>0</v>
      </c>
      <c r="AV189" s="29">
        <v>0</v>
      </c>
      <c r="AW189" s="29">
        <v>0</v>
      </c>
      <c r="AX189" s="29">
        <v>0</v>
      </c>
      <c r="AY189" s="29">
        <v>0</v>
      </c>
      <c r="AZ189" s="29">
        <v>0</v>
      </c>
      <c r="BA189" s="29">
        <v>0</v>
      </c>
      <c r="BB189" s="29">
        <v>0</v>
      </c>
      <c r="BC189" s="29">
        <v>0</v>
      </c>
      <c r="BD189" s="180">
        <v>0</v>
      </c>
      <c r="BE189" s="29">
        <v>0</v>
      </c>
      <c r="BF189" s="29">
        <v>0</v>
      </c>
      <c r="BG189" s="29">
        <v>0</v>
      </c>
      <c r="BH189" s="29">
        <v>0</v>
      </c>
      <c r="BI189" s="29">
        <v>0</v>
      </c>
      <c r="BJ189" s="29">
        <v>0</v>
      </c>
      <c r="BK189" s="29">
        <v>0</v>
      </c>
      <c r="BL189" s="29">
        <v>0</v>
      </c>
      <c r="BM189" s="29">
        <v>0</v>
      </c>
      <c r="BN189" s="29">
        <v>0</v>
      </c>
      <c r="BO189" s="29">
        <v>0</v>
      </c>
      <c r="BP189" s="29">
        <v>0</v>
      </c>
      <c r="BQ189" s="29">
        <v>0</v>
      </c>
      <c r="BR189" s="29">
        <v>0</v>
      </c>
      <c r="BS189" s="29">
        <v>0</v>
      </c>
      <c r="BT189" s="29">
        <v>0</v>
      </c>
      <c r="BU189" s="29">
        <v>0</v>
      </c>
      <c r="BV189" s="29">
        <v>0</v>
      </c>
      <c r="BW189" s="29">
        <v>0</v>
      </c>
      <c r="BX189" s="29">
        <v>0</v>
      </c>
      <c r="BY189" s="29">
        <v>0</v>
      </c>
      <c r="BZ189" s="29">
        <v>0</v>
      </c>
      <c r="CA189" s="29">
        <v>0</v>
      </c>
      <c r="CB189" s="29">
        <v>0</v>
      </c>
      <c r="CC189" s="29">
        <v>0</v>
      </c>
      <c r="CD189" s="29">
        <v>0</v>
      </c>
      <c r="CE189" s="29">
        <v>0</v>
      </c>
      <c r="CF189" s="29">
        <v>0</v>
      </c>
      <c r="CG189" s="29">
        <v>0</v>
      </c>
      <c r="CH189" s="29">
        <v>0</v>
      </c>
      <c r="CI189" s="29">
        <v>0</v>
      </c>
      <c r="CJ189" s="29">
        <v>0</v>
      </c>
      <c r="CK189" s="29">
        <v>0</v>
      </c>
      <c r="CL189" s="29">
        <v>0</v>
      </c>
      <c r="CM189" s="29">
        <v>0</v>
      </c>
      <c r="CN189" s="29">
        <v>0</v>
      </c>
      <c r="CO189" s="29">
        <v>0</v>
      </c>
      <c r="CP189" s="29">
        <v>0</v>
      </c>
      <c r="CQ189" s="29">
        <v>0</v>
      </c>
      <c r="CR189" s="29">
        <v>0</v>
      </c>
      <c r="CS189" s="29">
        <v>0</v>
      </c>
      <c r="CT189" s="29">
        <v>0</v>
      </c>
      <c r="CU189" s="361">
        <v>0</v>
      </c>
      <c r="CV189" s="189"/>
    </row>
    <row r="190" spans="1:100" ht="51" x14ac:dyDescent="0.2">
      <c r="A190" s="4" t="s">
        <v>1041</v>
      </c>
      <c r="B190" s="371" t="s">
        <v>1079</v>
      </c>
      <c r="C190" s="84">
        <f>SUM(D190:DX190)</f>
        <v>2012975.49</v>
      </c>
      <c r="D190" s="29">
        <v>67174</v>
      </c>
      <c r="E190" s="29">
        <v>0</v>
      </c>
      <c r="F190" s="29">
        <v>0</v>
      </c>
      <c r="G190" s="29">
        <v>1934011</v>
      </c>
      <c r="H190" s="29">
        <v>0</v>
      </c>
      <c r="I190" s="29">
        <v>0</v>
      </c>
      <c r="J190" s="29">
        <v>0</v>
      </c>
      <c r="K190" s="29">
        <v>0</v>
      </c>
      <c r="L190" s="29">
        <v>0</v>
      </c>
      <c r="M190" s="29">
        <v>0</v>
      </c>
      <c r="N190" s="29">
        <v>0</v>
      </c>
      <c r="O190" s="29">
        <v>0</v>
      </c>
      <c r="P190" s="29">
        <v>0</v>
      </c>
      <c r="Q190" s="29">
        <v>0</v>
      </c>
      <c r="R190" s="29">
        <v>0</v>
      </c>
      <c r="S190" s="29">
        <v>0</v>
      </c>
      <c r="T190" s="29">
        <v>0</v>
      </c>
      <c r="U190" s="29">
        <v>0</v>
      </c>
      <c r="V190" s="29">
        <v>0</v>
      </c>
      <c r="W190" s="29">
        <v>0</v>
      </c>
      <c r="X190" s="29">
        <v>0</v>
      </c>
      <c r="Y190" s="29">
        <v>0</v>
      </c>
      <c r="Z190" s="29">
        <v>0</v>
      </c>
      <c r="AA190" s="29">
        <v>0</v>
      </c>
      <c r="AB190" s="29">
        <v>0</v>
      </c>
      <c r="AC190" s="29">
        <v>0</v>
      </c>
      <c r="AD190" s="29">
        <v>0</v>
      </c>
      <c r="AE190" s="29">
        <v>0</v>
      </c>
      <c r="AF190" s="29">
        <v>0</v>
      </c>
      <c r="AG190" s="29">
        <v>0</v>
      </c>
      <c r="AH190" s="29">
        <v>0</v>
      </c>
      <c r="AI190" s="29">
        <v>0</v>
      </c>
      <c r="AJ190" s="29">
        <v>0</v>
      </c>
      <c r="AK190" s="29">
        <v>0</v>
      </c>
      <c r="AL190" s="29">
        <v>4960.45</v>
      </c>
      <c r="AM190" s="29">
        <v>0</v>
      </c>
      <c r="AN190" s="29">
        <v>6830.04</v>
      </c>
      <c r="AO190" s="29">
        <v>0</v>
      </c>
      <c r="AP190" s="29">
        <v>0</v>
      </c>
      <c r="AQ190" s="29">
        <v>0</v>
      </c>
      <c r="AR190" s="29">
        <v>0</v>
      </c>
      <c r="AS190" s="29">
        <v>0</v>
      </c>
      <c r="AT190" s="29">
        <v>0</v>
      </c>
      <c r="AU190" s="29">
        <v>0</v>
      </c>
      <c r="AV190" s="29">
        <v>0</v>
      </c>
      <c r="AW190" s="29">
        <v>0</v>
      </c>
      <c r="AX190" s="29">
        <v>0</v>
      </c>
      <c r="AY190" s="29">
        <v>0</v>
      </c>
      <c r="AZ190" s="29">
        <v>0</v>
      </c>
      <c r="BA190" s="29">
        <v>0</v>
      </c>
      <c r="BB190" s="29">
        <v>0</v>
      </c>
      <c r="BC190" s="29">
        <v>0</v>
      </c>
      <c r="BD190" s="180">
        <v>0</v>
      </c>
      <c r="BE190" s="29">
        <v>0</v>
      </c>
      <c r="BF190" s="29">
        <v>0</v>
      </c>
      <c r="BG190" s="29">
        <v>0</v>
      </c>
      <c r="BH190" s="29">
        <v>0</v>
      </c>
      <c r="BI190" s="29">
        <v>0</v>
      </c>
      <c r="BJ190" s="29">
        <v>0</v>
      </c>
      <c r="BK190" s="29">
        <v>0</v>
      </c>
      <c r="BL190" s="29">
        <v>0</v>
      </c>
      <c r="BM190" s="29">
        <v>0</v>
      </c>
      <c r="BN190" s="29">
        <v>0</v>
      </c>
      <c r="BO190" s="29">
        <v>0</v>
      </c>
      <c r="BP190" s="29">
        <v>0</v>
      </c>
      <c r="BQ190" s="29">
        <v>0</v>
      </c>
      <c r="BR190" s="29">
        <v>0</v>
      </c>
      <c r="BS190" s="29">
        <v>0</v>
      </c>
      <c r="BT190" s="29">
        <v>0</v>
      </c>
      <c r="BU190" s="29">
        <v>0</v>
      </c>
      <c r="BV190" s="29">
        <v>0</v>
      </c>
      <c r="BW190" s="29">
        <v>0</v>
      </c>
      <c r="BX190" s="29">
        <v>0</v>
      </c>
      <c r="BY190" s="29">
        <v>0</v>
      </c>
      <c r="BZ190" s="29">
        <v>0</v>
      </c>
      <c r="CA190" s="29">
        <v>0</v>
      </c>
      <c r="CB190" s="29">
        <v>0</v>
      </c>
      <c r="CC190" s="29">
        <v>0</v>
      </c>
      <c r="CD190" s="29">
        <v>0</v>
      </c>
      <c r="CE190" s="29">
        <v>0</v>
      </c>
      <c r="CF190" s="29">
        <v>0</v>
      </c>
      <c r="CG190" s="29">
        <v>0</v>
      </c>
      <c r="CH190" s="29">
        <v>0</v>
      </c>
      <c r="CI190" s="29">
        <v>0</v>
      </c>
      <c r="CJ190" s="29">
        <v>0</v>
      </c>
      <c r="CK190" s="29">
        <v>0</v>
      </c>
      <c r="CL190" s="29">
        <v>0</v>
      </c>
      <c r="CM190" s="29">
        <v>0</v>
      </c>
      <c r="CN190" s="29">
        <v>0</v>
      </c>
      <c r="CO190" s="29">
        <v>0</v>
      </c>
      <c r="CP190" s="29">
        <v>0</v>
      </c>
      <c r="CQ190" s="29">
        <v>0</v>
      </c>
      <c r="CR190" s="29">
        <v>0</v>
      </c>
      <c r="CS190" s="29">
        <v>0</v>
      </c>
      <c r="CT190" s="29">
        <v>0</v>
      </c>
      <c r="CU190" s="361">
        <v>0</v>
      </c>
      <c r="CV190" s="189"/>
    </row>
    <row r="191" spans="1:100" ht="51" x14ac:dyDescent="0.2">
      <c r="A191" s="4" t="s">
        <v>1023</v>
      </c>
      <c r="B191" s="366" t="s">
        <v>1080</v>
      </c>
      <c r="C191" s="191"/>
      <c r="D191" s="191"/>
      <c r="E191" s="191"/>
      <c r="F191" s="191"/>
      <c r="G191" s="191"/>
      <c r="H191" s="191"/>
      <c r="I191" s="191"/>
      <c r="J191" s="191"/>
      <c r="K191" s="191"/>
      <c r="L191" s="191"/>
      <c r="M191" s="191"/>
      <c r="N191" s="191"/>
      <c r="O191" s="191"/>
      <c r="P191" s="191"/>
      <c r="Q191" s="191"/>
      <c r="R191" s="191"/>
      <c r="S191" s="191"/>
      <c r="T191" s="191"/>
      <c r="U191" s="191"/>
      <c r="V191" s="191"/>
      <c r="W191" s="191"/>
      <c r="X191" s="191"/>
      <c r="Y191" s="191"/>
      <c r="Z191" s="191"/>
      <c r="AA191" s="191"/>
      <c r="AB191" s="191"/>
      <c r="AC191" s="191"/>
      <c r="AD191" s="191"/>
      <c r="AE191" s="191"/>
      <c r="AF191" s="191"/>
      <c r="AG191" s="191"/>
      <c r="AH191" s="191"/>
      <c r="AI191" s="191"/>
      <c r="AJ191" s="191"/>
      <c r="AK191" s="191"/>
      <c r="AL191" s="191"/>
      <c r="AM191" s="191"/>
      <c r="AN191" s="191"/>
      <c r="AO191" s="191"/>
      <c r="AP191" s="191"/>
      <c r="AQ191" s="191"/>
      <c r="AR191" s="191"/>
      <c r="AS191" s="191"/>
      <c r="AT191" s="191"/>
      <c r="AU191" s="191"/>
      <c r="AV191" s="191"/>
      <c r="AW191" s="191"/>
      <c r="AX191" s="191"/>
      <c r="AY191" s="191"/>
      <c r="AZ191" s="191"/>
      <c r="BA191" s="191"/>
      <c r="BB191" s="191"/>
      <c r="BC191" s="191"/>
      <c r="BD191" s="192"/>
      <c r="BE191" s="191"/>
      <c r="BF191" s="191"/>
      <c r="BG191" s="191"/>
      <c r="BH191" s="191"/>
      <c r="BI191" s="191"/>
      <c r="BJ191" s="191"/>
      <c r="BK191" s="191"/>
      <c r="BL191" s="191"/>
      <c r="BM191" s="191"/>
      <c r="BN191" s="191"/>
      <c r="BO191" s="191"/>
      <c r="BP191" s="191"/>
      <c r="BQ191" s="191"/>
      <c r="BR191" s="191"/>
      <c r="BS191" s="191"/>
      <c r="BT191" s="191"/>
      <c r="BU191" s="191"/>
      <c r="BV191" s="191"/>
      <c r="BW191" s="191"/>
      <c r="BX191" s="191"/>
      <c r="BY191" s="191"/>
      <c r="BZ191" s="191"/>
      <c r="CA191" s="191"/>
      <c r="CB191" s="191"/>
      <c r="CC191" s="191"/>
      <c r="CD191" s="191"/>
      <c r="CE191" s="191"/>
      <c r="CF191" s="191"/>
      <c r="CG191" s="191"/>
      <c r="CH191" s="191"/>
      <c r="CI191" s="191"/>
      <c r="CJ191" s="191"/>
      <c r="CK191" s="191"/>
      <c r="CL191" s="191"/>
      <c r="CM191" s="191"/>
      <c r="CN191" s="191"/>
      <c r="CO191" s="191"/>
      <c r="CP191" s="191"/>
      <c r="CQ191" s="191"/>
      <c r="CR191" s="191"/>
      <c r="CS191" s="191"/>
      <c r="CT191" s="191"/>
      <c r="CU191" s="367"/>
      <c r="CV191" s="189"/>
    </row>
    <row r="192" spans="1:100" ht="76.5" x14ac:dyDescent="0.2">
      <c r="A192" s="4" t="s">
        <v>1040</v>
      </c>
      <c r="B192" s="371" t="s">
        <v>1081</v>
      </c>
      <c r="C192" s="84">
        <f>SUM(D192:DX192)</f>
        <v>698380.24</v>
      </c>
      <c r="D192" s="29">
        <v>14067</v>
      </c>
      <c r="E192" s="29">
        <v>0</v>
      </c>
      <c r="F192" s="29">
        <v>0</v>
      </c>
      <c r="G192" s="29">
        <v>0</v>
      </c>
      <c r="H192" s="29">
        <v>0</v>
      </c>
      <c r="I192" s="29">
        <v>0</v>
      </c>
      <c r="J192" s="29">
        <v>0</v>
      </c>
      <c r="K192" s="29">
        <v>0</v>
      </c>
      <c r="L192" s="29">
        <v>0</v>
      </c>
      <c r="M192" s="29">
        <v>0</v>
      </c>
      <c r="N192" s="29">
        <v>0</v>
      </c>
      <c r="O192" s="29">
        <v>0</v>
      </c>
      <c r="P192" s="29">
        <v>0</v>
      </c>
      <c r="Q192" s="29">
        <v>0</v>
      </c>
      <c r="R192" s="29">
        <v>0</v>
      </c>
      <c r="S192" s="29">
        <v>0</v>
      </c>
      <c r="T192" s="29">
        <v>0</v>
      </c>
      <c r="U192" s="29">
        <v>0</v>
      </c>
      <c r="V192" s="29">
        <v>0</v>
      </c>
      <c r="W192" s="29">
        <v>0</v>
      </c>
      <c r="X192" s="29">
        <v>0</v>
      </c>
      <c r="Y192" s="29">
        <v>0</v>
      </c>
      <c r="Z192" s="29">
        <v>0</v>
      </c>
      <c r="AA192" s="29">
        <v>0</v>
      </c>
      <c r="AB192" s="29">
        <v>0</v>
      </c>
      <c r="AC192" s="29">
        <v>0</v>
      </c>
      <c r="AD192" s="29">
        <v>0</v>
      </c>
      <c r="AE192" s="29">
        <v>0</v>
      </c>
      <c r="AF192" s="29">
        <v>0</v>
      </c>
      <c r="AG192" s="29">
        <v>0</v>
      </c>
      <c r="AH192" s="29">
        <v>0</v>
      </c>
      <c r="AI192" s="29">
        <v>0</v>
      </c>
      <c r="AJ192" s="29">
        <v>0</v>
      </c>
      <c r="AK192" s="29">
        <v>0</v>
      </c>
      <c r="AL192" s="29">
        <v>0</v>
      </c>
      <c r="AM192" s="29">
        <v>525141.6</v>
      </c>
      <c r="AN192" s="29">
        <v>6830.04</v>
      </c>
      <c r="AO192" s="29">
        <v>0</v>
      </c>
      <c r="AP192" s="29">
        <v>0</v>
      </c>
      <c r="AQ192" s="29">
        <v>152341.6</v>
      </c>
      <c r="AR192" s="29">
        <v>0</v>
      </c>
      <c r="AS192" s="29">
        <v>0</v>
      </c>
      <c r="AT192" s="29">
        <v>0</v>
      </c>
      <c r="AU192" s="29">
        <v>0</v>
      </c>
      <c r="AV192" s="29">
        <v>0</v>
      </c>
      <c r="AW192" s="29">
        <v>0</v>
      </c>
      <c r="AX192" s="29">
        <v>0</v>
      </c>
      <c r="AY192" s="29">
        <v>0</v>
      </c>
      <c r="AZ192" s="29">
        <v>0</v>
      </c>
      <c r="BA192" s="29">
        <v>0</v>
      </c>
      <c r="BB192" s="29">
        <v>0</v>
      </c>
      <c r="BC192" s="29">
        <v>0</v>
      </c>
      <c r="BD192" s="180">
        <v>0</v>
      </c>
      <c r="BE192" s="29">
        <v>0</v>
      </c>
      <c r="BF192" s="29">
        <v>0</v>
      </c>
      <c r="BG192" s="29">
        <v>0</v>
      </c>
      <c r="BH192" s="29">
        <v>0</v>
      </c>
      <c r="BI192" s="29">
        <v>0</v>
      </c>
      <c r="BJ192" s="29">
        <v>0</v>
      </c>
      <c r="BK192" s="29">
        <v>0</v>
      </c>
      <c r="BL192" s="29">
        <v>0</v>
      </c>
      <c r="BM192" s="29">
        <v>0</v>
      </c>
      <c r="BN192" s="29">
        <v>0</v>
      </c>
      <c r="BO192" s="29">
        <v>0</v>
      </c>
      <c r="BP192" s="29">
        <v>0</v>
      </c>
      <c r="BQ192" s="29">
        <v>0</v>
      </c>
      <c r="BR192" s="29">
        <v>0</v>
      </c>
      <c r="BS192" s="29">
        <v>0</v>
      </c>
      <c r="BT192" s="29">
        <v>0</v>
      </c>
      <c r="BU192" s="29">
        <v>0</v>
      </c>
      <c r="BV192" s="29">
        <v>0</v>
      </c>
      <c r="BW192" s="29">
        <v>0</v>
      </c>
      <c r="BX192" s="29">
        <v>0</v>
      </c>
      <c r="BY192" s="29">
        <v>0</v>
      </c>
      <c r="BZ192" s="29">
        <v>0</v>
      </c>
      <c r="CA192" s="29">
        <v>0</v>
      </c>
      <c r="CB192" s="29">
        <v>0</v>
      </c>
      <c r="CC192" s="29">
        <v>0</v>
      </c>
      <c r="CD192" s="29">
        <v>0</v>
      </c>
      <c r="CE192" s="29">
        <v>0</v>
      </c>
      <c r="CF192" s="29">
        <v>0</v>
      </c>
      <c r="CG192" s="29">
        <v>0</v>
      </c>
      <c r="CH192" s="29">
        <v>0</v>
      </c>
      <c r="CI192" s="29">
        <v>0</v>
      </c>
      <c r="CJ192" s="29">
        <v>0</v>
      </c>
      <c r="CK192" s="29">
        <v>0</v>
      </c>
      <c r="CL192" s="29">
        <v>0</v>
      </c>
      <c r="CM192" s="29">
        <v>0</v>
      </c>
      <c r="CN192" s="29">
        <v>0</v>
      </c>
      <c r="CO192" s="29">
        <v>0</v>
      </c>
      <c r="CP192" s="29">
        <v>0</v>
      </c>
      <c r="CQ192" s="29">
        <v>0</v>
      </c>
      <c r="CR192" s="29">
        <v>0</v>
      </c>
      <c r="CS192" s="29">
        <v>0</v>
      </c>
      <c r="CT192" s="29">
        <v>0</v>
      </c>
      <c r="CU192" s="361">
        <v>0</v>
      </c>
      <c r="CV192" s="189"/>
    </row>
    <row r="193" spans="1:100" ht="75" customHeight="1" x14ac:dyDescent="0.2">
      <c r="A193" s="4" t="s">
        <v>1023</v>
      </c>
      <c r="B193" s="366" t="s">
        <v>1082</v>
      </c>
      <c r="C193" s="191"/>
      <c r="D193" s="191"/>
      <c r="E193" s="191"/>
      <c r="F193" s="191"/>
      <c r="G193" s="191"/>
      <c r="H193" s="191"/>
      <c r="I193" s="191"/>
      <c r="J193" s="191"/>
      <c r="K193" s="191"/>
      <c r="L193" s="191"/>
      <c r="M193" s="191"/>
      <c r="N193" s="191"/>
      <c r="O193" s="191"/>
      <c r="P193" s="191"/>
      <c r="Q193" s="191"/>
      <c r="R193" s="191"/>
      <c r="S193" s="191"/>
      <c r="T193" s="191"/>
      <c r="U193" s="191"/>
      <c r="V193" s="191"/>
      <c r="W193" s="191"/>
      <c r="X193" s="191"/>
      <c r="Y193" s="191"/>
      <c r="Z193" s="191"/>
      <c r="AA193" s="191"/>
      <c r="AB193" s="191"/>
      <c r="AC193" s="191"/>
      <c r="AD193" s="191"/>
      <c r="AE193" s="191"/>
      <c r="AF193" s="191"/>
      <c r="AG193" s="191"/>
      <c r="AH193" s="191"/>
      <c r="AI193" s="191"/>
      <c r="AJ193" s="191"/>
      <c r="AK193" s="191"/>
      <c r="AL193" s="191"/>
      <c r="AM193" s="191"/>
      <c r="AN193" s="191"/>
      <c r="AO193" s="191"/>
      <c r="AP193" s="191"/>
      <c r="AQ193" s="191"/>
      <c r="AR193" s="191"/>
      <c r="AS193" s="191"/>
      <c r="AT193" s="191"/>
      <c r="AU193" s="191"/>
      <c r="AV193" s="191"/>
      <c r="AW193" s="191"/>
      <c r="AX193" s="191"/>
      <c r="AY193" s="191"/>
      <c r="AZ193" s="191"/>
      <c r="BA193" s="191"/>
      <c r="BB193" s="191"/>
      <c r="BC193" s="191"/>
      <c r="BD193" s="192"/>
      <c r="BE193" s="191"/>
      <c r="BF193" s="191"/>
      <c r="BG193" s="191"/>
      <c r="BH193" s="191"/>
      <c r="BI193" s="191"/>
      <c r="BJ193" s="191"/>
      <c r="BK193" s="191"/>
      <c r="BL193" s="191"/>
      <c r="BM193" s="191"/>
      <c r="BN193" s="191"/>
      <c r="BO193" s="191"/>
      <c r="BP193" s="191"/>
      <c r="BQ193" s="191"/>
      <c r="BR193" s="191"/>
      <c r="BS193" s="191"/>
      <c r="BT193" s="191"/>
      <c r="BU193" s="191"/>
      <c r="BV193" s="191"/>
      <c r="BW193" s="191"/>
      <c r="BX193" s="191"/>
      <c r="BY193" s="191"/>
      <c r="BZ193" s="191"/>
      <c r="CA193" s="191"/>
      <c r="CB193" s="191"/>
      <c r="CC193" s="191"/>
      <c r="CD193" s="191"/>
      <c r="CE193" s="191"/>
      <c r="CF193" s="191"/>
      <c r="CG193" s="191"/>
      <c r="CH193" s="191"/>
      <c r="CI193" s="191"/>
      <c r="CJ193" s="191"/>
      <c r="CK193" s="191"/>
      <c r="CL193" s="191"/>
      <c r="CM193" s="191"/>
      <c r="CN193" s="191"/>
      <c r="CO193" s="191"/>
      <c r="CP193" s="191"/>
      <c r="CQ193" s="191"/>
      <c r="CR193" s="191"/>
      <c r="CS193" s="191"/>
      <c r="CT193" s="191"/>
      <c r="CU193" s="367"/>
      <c r="CV193" s="189"/>
    </row>
    <row r="194" spans="1:100" ht="63.75" x14ac:dyDescent="0.2">
      <c r="A194" s="4" t="s">
        <v>1039</v>
      </c>
      <c r="B194" s="371" t="s">
        <v>1083</v>
      </c>
      <c r="C194" s="84">
        <f>SUM(D194:DX194)</f>
        <v>798625.52</v>
      </c>
      <c r="D194" s="29">
        <v>21398</v>
      </c>
      <c r="E194" s="29">
        <v>0</v>
      </c>
      <c r="F194" s="29">
        <v>0</v>
      </c>
      <c r="G194" s="29">
        <v>0</v>
      </c>
      <c r="H194" s="29">
        <v>0</v>
      </c>
      <c r="I194" s="29">
        <v>0</v>
      </c>
      <c r="J194" s="29">
        <v>0</v>
      </c>
      <c r="K194" s="29">
        <v>0</v>
      </c>
      <c r="L194" s="29">
        <v>0</v>
      </c>
      <c r="M194" s="29">
        <v>0</v>
      </c>
      <c r="N194" s="29">
        <v>0</v>
      </c>
      <c r="O194" s="29">
        <v>0</v>
      </c>
      <c r="P194" s="29">
        <v>0</v>
      </c>
      <c r="Q194" s="29">
        <v>0</v>
      </c>
      <c r="R194" s="29">
        <v>0</v>
      </c>
      <c r="S194" s="29">
        <v>0</v>
      </c>
      <c r="T194" s="29">
        <v>0</v>
      </c>
      <c r="U194" s="29">
        <v>0</v>
      </c>
      <c r="V194" s="29">
        <v>0</v>
      </c>
      <c r="W194" s="29">
        <v>0</v>
      </c>
      <c r="X194" s="29">
        <v>0</v>
      </c>
      <c r="Y194" s="29">
        <v>0</v>
      </c>
      <c r="Z194" s="29">
        <v>0</v>
      </c>
      <c r="AA194" s="29">
        <v>0</v>
      </c>
      <c r="AB194" s="29">
        <v>0</v>
      </c>
      <c r="AC194" s="29">
        <v>0</v>
      </c>
      <c r="AD194" s="29">
        <v>0</v>
      </c>
      <c r="AE194" s="29">
        <v>0</v>
      </c>
      <c r="AF194" s="29">
        <v>0</v>
      </c>
      <c r="AG194" s="29">
        <v>0</v>
      </c>
      <c r="AH194" s="29">
        <v>0</v>
      </c>
      <c r="AI194" s="29">
        <v>0</v>
      </c>
      <c r="AJ194" s="29">
        <v>0</v>
      </c>
      <c r="AK194" s="29">
        <v>0</v>
      </c>
      <c r="AL194" s="29">
        <v>0</v>
      </c>
      <c r="AM194" s="29">
        <v>0</v>
      </c>
      <c r="AN194" s="29">
        <v>6830.04</v>
      </c>
      <c r="AO194" s="29">
        <v>0</v>
      </c>
      <c r="AP194" s="29">
        <v>0</v>
      </c>
      <c r="AQ194" s="29">
        <v>0</v>
      </c>
      <c r="AR194" s="29">
        <v>0</v>
      </c>
      <c r="AS194" s="29">
        <v>770397.48</v>
      </c>
      <c r="AT194" s="29">
        <v>0</v>
      </c>
      <c r="AU194" s="29">
        <v>0</v>
      </c>
      <c r="AV194" s="29">
        <v>0</v>
      </c>
      <c r="AW194" s="29">
        <v>0</v>
      </c>
      <c r="AX194" s="29">
        <v>0</v>
      </c>
      <c r="AY194" s="29">
        <v>0</v>
      </c>
      <c r="AZ194" s="29">
        <v>0</v>
      </c>
      <c r="BA194" s="29">
        <v>0</v>
      </c>
      <c r="BB194" s="29">
        <v>0</v>
      </c>
      <c r="BC194" s="29">
        <v>0</v>
      </c>
      <c r="BD194" s="180">
        <v>0</v>
      </c>
      <c r="BE194" s="29">
        <v>0</v>
      </c>
      <c r="BF194" s="29">
        <v>0</v>
      </c>
      <c r="BG194" s="29">
        <v>0</v>
      </c>
      <c r="BH194" s="29">
        <v>0</v>
      </c>
      <c r="BI194" s="29">
        <v>0</v>
      </c>
      <c r="BJ194" s="29">
        <v>0</v>
      </c>
      <c r="BK194" s="29">
        <v>0</v>
      </c>
      <c r="BL194" s="29">
        <v>0</v>
      </c>
      <c r="BM194" s="29">
        <v>0</v>
      </c>
      <c r="BN194" s="29">
        <v>0</v>
      </c>
      <c r="BO194" s="29">
        <v>0</v>
      </c>
      <c r="BP194" s="29">
        <v>0</v>
      </c>
      <c r="BQ194" s="29">
        <v>0</v>
      </c>
      <c r="BR194" s="29">
        <v>0</v>
      </c>
      <c r="BS194" s="29">
        <v>0</v>
      </c>
      <c r="BT194" s="29">
        <v>0</v>
      </c>
      <c r="BU194" s="29">
        <v>0</v>
      </c>
      <c r="BV194" s="29">
        <v>0</v>
      </c>
      <c r="BW194" s="29">
        <v>0</v>
      </c>
      <c r="BX194" s="29">
        <v>0</v>
      </c>
      <c r="BY194" s="29">
        <v>0</v>
      </c>
      <c r="BZ194" s="29">
        <v>0</v>
      </c>
      <c r="CA194" s="29">
        <v>0</v>
      </c>
      <c r="CB194" s="29">
        <v>0</v>
      </c>
      <c r="CC194" s="29">
        <v>0</v>
      </c>
      <c r="CD194" s="29">
        <v>0</v>
      </c>
      <c r="CE194" s="29">
        <v>0</v>
      </c>
      <c r="CF194" s="29">
        <v>0</v>
      </c>
      <c r="CG194" s="29">
        <v>0</v>
      </c>
      <c r="CH194" s="29">
        <v>0</v>
      </c>
      <c r="CI194" s="29">
        <v>0</v>
      </c>
      <c r="CJ194" s="29">
        <v>0</v>
      </c>
      <c r="CK194" s="29">
        <v>0</v>
      </c>
      <c r="CL194" s="29">
        <v>0</v>
      </c>
      <c r="CM194" s="29">
        <v>0</v>
      </c>
      <c r="CN194" s="29">
        <v>0</v>
      </c>
      <c r="CO194" s="29">
        <v>0</v>
      </c>
      <c r="CP194" s="29">
        <v>0</v>
      </c>
      <c r="CQ194" s="29">
        <v>0</v>
      </c>
      <c r="CR194" s="29">
        <v>0</v>
      </c>
      <c r="CS194" s="29">
        <v>0</v>
      </c>
      <c r="CT194" s="29">
        <v>0</v>
      </c>
      <c r="CU194" s="361">
        <v>0</v>
      </c>
      <c r="CV194" s="189"/>
    </row>
    <row r="195" spans="1:100" ht="63.75" x14ac:dyDescent="0.2">
      <c r="A195" s="4" t="s">
        <v>1037</v>
      </c>
      <c r="B195" s="371" t="s">
        <v>1084</v>
      </c>
      <c r="C195" s="84">
        <f>SUM(D195:DX195)</f>
        <v>330318.34999999998</v>
      </c>
      <c r="D195" s="29">
        <v>21398</v>
      </c>
      <c r="E195" s="29">
        <v>0</v>
      </c>
      <c r="F195" s="29">
        <v>0</v>
      </c>
      <c r="G195" s="29">
        <v>0</v>
      </c>
      <c r="H195" s="29">
        <v>0</v>
      </c>
      <c r="I195" s="29">
        <v>0</v>
      </c>
      <c r="J195" s="29">
        <v>0</v>
      </c>
      <c r="K195" s="29">
        <v>0</v>
      </c>
      <c r="L195" s="29">
        <v>0</v>
      </c>
      <c r="M195" s="29">
        <v>0</v>
      </c>
      <c r="N195" s="29">
        <v>0</v>
      </c>
      <c r="O195" s="29">
        <v>0</v>
      </c>
      <c r="P195" s="29">
        <v>0</v>
      </c>
      <c r="Q195" s="29">
        <v>0</v>
      </c>
      <c r="R195" s="29">
        <v>0</v>
      </c>
      <c r="S195" s="29">
        <v>0</v>
      </c>
      <c r="T195" s="29">
        <v>0</v>
      </c>
      <c r="U195" s="29">
        <v>0</v>
      </c>
      <c r="V195" s="29">
        <v>0</v>
      </c>
      <c r="W195" s="29">
        <v>0</v>
      </c>
      <c r="X195" s="29">
        <v>0</v>
      </c>
      <c r="Y195" s="29">
        <v>0</v>
      </c>
      <c r="Z195" s="29">
        <v>0</v>
      </c>
      <c r="AA195" s="29">
        <v>0</v>
      </c>
      <c r="AB195" s="29">
        <v>0</v>
      </c>
      <c r="AC195" s="29">
        <v>0</v>
      </c>
      <c r="AD195" s="29">
        <v>0</v>
      </c>
      <c r="AE195" s="29">
        <v>0</v>
      </c>
      <c r="AF195" s="29">
        <v>0</v>
      </c>
      <c r="AG195" s="29">
        <v>0</v>
      </c>
      <c r="AH195" s="29">
        <v>0</v>
      </c>
      <c r="AI195" s="29">
        <v>0</v>
      </c>
      <c r="AJ195" s="29">
        <v>0</v>
      </c>
      <c r="AK195" s="29">
        <v>0</v>
      </c>
      <c r="AL195" s="29">
        <v>0</v>
      </c>
      <c r="AM195" s="29">
        <v>0</v>
      </c>
      <c r="AN195" s="29">
        <v>6830.04</v>
      </c>
      <c r="AO195" s="29">
        <v>0</v>
      </c>
      <c r="AP195" s="29">
        <v>0</v>
      </c>
      <c r="AQ195" s="29">
        <v>0</v>
      </c>
      <c r="AR195" s="29">
        <v>302090.31</v>
      </c>
      <c r="AS195" s="29">
        <v>0</v>
      </c>
      <c r="AT195" s="29">
        <v>0</v>
      </c>
      <c r="AU195" s="29">
        <v>0</v>
      </c>
      <c r="AV195" s="29">
        <v>0</v>
      </c>
      <c r="AW195" s="29">
        <v>0</v>
      </c>
      <c r="AX195" s="29">
        <v>0</v>
      </c>
      <c r="AY195" s="29">
        <v>0</v>
      </c>
      <c r="AZ195" s="29">
        <v>0</v>
      </c>
      <c r="BA195" s="29">
        <v>0</v>
      </c>
      <c r="BB195" s="29">
        <v>0</v>
      </c>
      <c r="BC195" s="29">
        <v>0</v>
      </c>
      <c r="BD195" s="180">
        <v>0</v>
      </c>
      <c r="BE195" s="29">
        <v>0</v>
      </c>
      <c r="BF195" s="29">
        <v>0</v>
      </c>
      <c r="BG195" s="29">
        <v>0</v>
      </c>
      <c r="BH195" s="29">
        <v>0</v>
      </c>
      <c r="BI195" s="29">
        <v>0</v>
      </c>
      <c r="BJ195" s="29">
        <v>0</v>
      </c>
      <c r="BK195" s="29">
        <v>0</v>
      </c>
      <c r="BL195" s="29">
        <v>0</v>
      </c>
      <c r="BM195" s="29">
        <v>0</v>
      </c>
      <c r="BN195" s="29">
        <v>0</v>
      </c>
      <c r="BO195" s="29">
        <v>0</v>
      </c>
      <c r="BP195" s="29">
        <v>0</v>
      </c>
      <c r="BQ195" s="29">
        <v>0</v>
      </c>
      <c r="BR195" s="29">
        <v>0</v>
      </c>
      <c r="BS195" s="29">
        <v>0</v>
      </c>
      <c r="BT195" s="29">
        <v>0</v>
      </c>
      <c r="BU195" s="29">
        <v>0</v>
      </c>
      <c r="BV195" s="29">
        <v>0</v>
      </c>
      <c r="BW195" s="29">
        <v>0</v>
      </c>
      <c r="BX195" s="29">
        <v>0</v>
      </c>
      <c r="BY195" s="29">
        <v>0</v>
      </c>
      <c r="BZ195" s="29">
        <v>0</v>
      </c>
      <c r="CA195" s="29">
        <v>0</v>
      </c>
      <c r="CB195" s="29">
        <v>0</v>
      </c>
      <c r="CC195" s="29">
        <v>0</v>
      </c>
      <c r="CD195" s="29">
        <v>0</v>
      </c>
      <c r="CE195" s="29">
        <v>0</v>
      </c>
      <c r="CF195" s="29">
        <v>0</v>
      </c>
      <c r="CG195" s="29">
        <v>0</v>
      </c>
      <c r="CH195" s="29">
        <v>0</v>
      </c>
      <c r="CI195" s="29">
        <v>0</v>
      </c>
      <c r="CJ195" s="29">
        <v>0</v>
      </c>
      <c r="CK195" s="29">
        <v>0</v>
      </c>
      <c r="CL195" s="29">
        <v>0</v>
      </c>
      <c r="CM195" s="29">
        <v>0</v>
      </c>
      <c r="CN195" s="29">
        <v>0</v>
      </c>
      <c r="CO195" s="29">
        <v>0</v>
      </c>
      <c r="CP195" s="29">
        <v>0</v>
      </c>
      <c r="CQ195" s="29">
        <v>0</v>
      </c>
      <c r="CR195" s="29">
        <v>0</v>
      </c>
      <c r="CS195" s="29">
        <v>0</v>
      </c>
      <c r="CT195" s="29">
        <v>0</v>
      </c>
      <c r="CU195" s="361">
        <v>0</v>
      </c>
      <c r="CV195" s="189"/>
    </row>
    <row r="196" spans="1:100" ht="72" customHeight="1" x14ac:dyDescent="0.2">
      <c r="A196" s="4" t="s">
        <v>1023</v>
      </c>
      <c r="B196" s="366" t="s">
        <v>1085</v>
      </c>
      <c r="C196" s="191"/>
      <c r="D196" s="191"/>
      <c r="E196" s="191"/>
      <c r="F196" s="191"/>
      <c r="G196" s="191"/>
      <c r="H196" s="191"/>
      <c r="I196" s="191"/>
      <c r="J196" s="191"/>
      <c r="K196" s="191"/>
      <c r="L196" s="191"/>
      <c r="M196" s="191"/>
      <c r="N196" s="191"/>
      <c r="O196" s="191"/>
      <c r="P196" s="191"/>
      <c r="Q196" s="191"/>
      <c r="R196" s="191"/>
      <c r="S196" s="191"/>
      <c r="T196" s="191"/>
      <c r="U196" s="191"/>
      <c r="V196" s="191"/>
      <c r="W196" s="191"/>
      <c r="X196" s="191"/>
      <c r="Y196" s="191"/>
      <c r="Z196" s="191"/>
      <c r="AA196" s="191"/>
      <c r="AB196" s="191"/>
      <c r="AC196" s="191"/>
      <c r="AD196" s="191"/>
      <c r="AE196" s="191"/>
      <c r="AF196" s="191"/>
      <c r="AG196" s="191"/>
      <c r="AH196" s="191"/>
      <c r="AI196" s="191"/>
      <c r="AJ196" s="191"/>
      <c r="AK196" s="191"/>
      <c r="AL196" s="191"/>
      <c r="AM196" s="191"/>
      <c r="AN196" s="191"/>
      <c r="AO196" s="191"/>
      <c r="AP196" s="191"/>
      <c r="AQ196" s="191"/>
      <c r="AR196" s="191"/>
      <c r="AS196" s="191"/>
      <c r="AT196" s="191"/>
      <c r="AU196" s="191"/>
      <c r="AV196" s="191"/>
      <c r="AW196" s="191"/>
      <c r="AX196" s="191"/>
      <c r="AY196" s="191"/>
      <c r="AZ196" s="191"/>
      <c r="BA196" s="191"/>
      <c r="BB196" s="191"/>
      <c r="BC196" s="191"/>
      <c r="BD196" s="192"/>
      <c r="BE196" s="191"/>
      <c r="BF196" s="191"/>
      <c r="BG196" s="191"/>
      <c r="BH196" s="191"/>
      <c r="BI196" s="191"/>
      <c r="BJ196" s="191"/>
      <c r="BK196" s="191"/>
      <c r="BL196" s="191"/>
      <c r="BM196" s="191"/>
      <c r="BN196" s="191"/>
      <c r="BO196" s="191"/>
      <c r="BP196" s="191"/>
      <c r="BQ196" s="191"/>
      <c r="BR196" s="191"/>
      <c r="BS196" s="191"/>
      <c r="BT196" s="191"/>
      <c r="BU196" s="191"/>
      <c r="BV196" s="191"/>
      <c r="BW196" s="191"/>
      <c r="BX196" s="191"/>
      <c r="BY196" s="191"/>
      <c r="BZ196" s="191"/>
      <c r="CA196" s="191"/>
      <c r="CB196" s="191"/>
      <c r="CC196" s="191"/>
      <c r="CD196" s="191"/>
      <c r="CE196" s="191"/>
      <c r="CF196" s="191"/>
      <c r="CG196" s="191"/>
      <c r="CH196" s="191"/>
      <c r="CI196" s="191"/>
      <c r="CJ196" s="191"/>
      <c r="CK196" s="191"/>
      <c r="CL196" s="191"/>
      <c r="CM196" s="191"/>
      <c r="CN196" s="191"/>
      <c r="CO196" s="191"/>
      <c r="CP196" s="191"/>
      <c r="CQ196" s="191"/>
      <c r="CR196" s="191"/>
      <c r="CS196" s="191"/>
      <c r="CT196" s="191"/>
      <c r="CU196" s="367"/>
      <c r="CV196" s="189"/>
    </row>
    <row r="197" spans="1:100" ht="51" x14ac:dyDescent="0.2">
      <c r="A197" s="4" t="s">
        <v>1038</v>
      </c>
      <c r="B197" s="371" t="s">
        <v>1086</v>
      </c>
      <c r="C197" s="84">
        <f>SUM(D197:DX197)</f>
        <v>1566391.85</v>
      </c>
      <c r="D197" s="29">
        <v>1064704</v>
      </c>
      <c r="E197" s="29">
        <v>0</v>
      </c>
      <c r="F197" s="29">
        <v>0</v>
      </c>
      <c r="G197" s="29">
        <v>480579</v>
      </c>
      <c r="H197" s="29">
        <v>0</v>
      </c>
      <c r="I197" s="29">
        <v>0</v>
      </c>
      <c r="J197" s="29">
        <v>0</v>
      </c>
      <c r="K197" s="29">
        <v>0</v>
      </c>
      <c r="L197" s="29">
        <v>0</v>
      </c>
      <c r="M197" s="29">
        <v>0</v>
      </c>
      <c r="N197" s="29">
        <v>0</v>
      </c>
      <c r="O197" s="29">
        <v>0</v>
      </c>
      <c r="P197" s="29">
        <v>0</v>
      </c>
      <c r="Q197" s="29">
        <v>0</v>
      </c>
      <c r="R197" s="29">
        <v>0</v>
      </c>
      <c r="S197" s="29">
        <v>0</v>
      </c>
      <c r="T197" s="29">
        <v>0</v>
      </c>
      <c r="U197" s="29">
        <v>0</v>
      </c>
      <c r="V197" s="29">
        <v>0</v>
      </c>
      <c r="W197" s="29">
        <v>0</v>
      </c>
      <c r="X197" s="29">
        <v>0</v>
      </c>
      <c r="Y197" s="29">
        <v>0</v>
      </c>
      <c r="Z197" s="29">
        <v>0</v>
      </c>
      <c r="AA197" s="29">
        <v>0</v>
      </c>
      <c r="AB197" s="29">
        <v>0</v>
      </c>
      <c r="AC197" s="29">
        <v>0</v>
      </c>
      <c r="AD197" s="29">
        <v>0</v>
      </c>
      <c r="AE197" s="29">
        <v>0</v>
      </c>
      <c r="AF197" s="29">
        <v>0</v>
      </c>
      <c r="AG197" s="29">
        <v>0</v>
      </c>
      <c r="AH197" s="29">
        <v>0</v>
      </c>
      <c r="AI197" s="29">
        <v>0</v>
      </c>
      <c r="AJ197" s="29">
        <v>0</v>
      </c>
      <c r="AK197" s="29">
        <v>0</v>
      </c>
      <c r="AL197" s="29">
        <v>14278.81</v>
      </c>
      <c r="AM197" s="29">
        <v>0</v>
      </c>
      <c r="AN197" s="29">
        <v>6830.04</v>
      </c>
      <c r="AO197" s="29">
        <v>0</v>
      </c>
      <c r="AP197" s="29">
        <v>0</v>
      </c>
      <c r="AQ197" s="29">
        <v>0</v>
      </c>
      <c r="AR197" s="29">
        <v>0</v>
      </c>
      <c r="AS197" s="29">
        <v>0</v>
      </c>
      <c r="AT197" s="29">
        <v>0</v>
      </c>
      <c r="AU197" s="29">
        <v>0</v>
      </c>
      <c r="AV197" s="29">
        <v>0</v>
      </c>
      <c r="AW197" s="29">
        <v>0</v>
      </c>
      <c r="AX197" s="29">
        <v>0</v>
      </c>
      <c r="AY197" s="29">
        <v>0</v>
      </c>
      <c r="AZ197" s="29">
        <v>0</v>
      </c>
      <c r="BA197" s="29">
        <v>0</v>
      </c>
      <c r="BB197" s="29">
        <v>0</v>
      </c>
      <c r="BC197" s="29">
        <v>0</v>
      </c>
      <c r="BD197" s="180">
        <v>0</v>
      </c>
      <c r="BE197" s="29">
        <v>0</v>
      </c>
      <c r="BF197" s="29">
        <v>0</v>
      </c>
      <c r="BG197" s="29">
        <v>0</v>
      </c>
      <c r="BH197" s="29">
        <v>0</v>
      </c>
      <c r="BI197" s="29">
        <v>0</v>
      </c>
      <c r="BJ197" s="29">
        <v>0</v>
      </c>
      <c r="BK197" s="29">
        <v>0</v>
      </c>
      <c r="BL197" s="29">
        <v>0</v>
      </c>
      <c r="BM197" s="29">
        <v>0</v>
      </c>
      <c r="BN197" s="29">
        <v>0</v>
      </c>
      <c r="BO197" s="29">
        <v>0</v>
      </c>
      <c r="BP197" s="29">
        <v>0</v>
      </c>
      <c r="BQ197" s="29">
        <v>0</v>
      </c>
      <c r="BR197" s="29">
        <v>0</v>
      </c>
      <c r="BS197" s="29">
        <v>0</v>
      </c>
      <c r="BT197" s="29">
        <v>0</v>
      </c>
      <c r="BU197" s="29">
        <v>0</v>
      </c>
      <c r="BV197" s="29">
        <v>0</v>
      </c>
      <c r="BW197" s="29">
        <v>0</v>
      </c>
      <c r="BX197" s="29">
        <v>0</v>
      </c>
      <c r="BY197" s="29">
        <v>0</v>
      </c>
      <c r="BZ197" s="29">
        <v>0</v>
      </c>
      <c r="CA197" s="29">
        <v>0</v>
      </c>
      <c r="CB197" s="29">
        <v>0</v>
      </c>
      <c r="CC197" s="29">
        <v>0</v>
      </c>
      <c r="CD197" s="29">
        <v>0</v>
      </c>
      <c r="CE197" s="29">
        <v>0</v>
      </c>
      <c r="CF197" s="29">
        <v>0</v>
      </c>
      <c r="CG197" s="29">
        <v>0</v>
      </c>
      <c r="CH197" s="29">
        <v>0</v>
      </c>
      <c r="CI197" s="29">
        <v>0</v>
      </c>
      <c r="CJ197" s="29">
        <v>0</v>
      </c>
      <c r="CK197" s="29">
        <v>0</v>
      </c>
      <c r="CL197" s="29">
        <v>0</v>
      </c>
      <c r="CM197" s="29">
        <v>0</v>
      </c>
      <c r="CN197" s="29">
        <v>0</v>
      </c>
      <c r="CO197" s="29">
        <v>0</v>
      </c>
      <c r="CP197" s="29">
        <v>0</v>
      </c>
      <c r="CQ197" s="29">
        <v>0</v>
      </c>
      <c r="CR197" s="29">
        <v>0</v>
      </c>
      <c r="CS197" s="29">
        <v>0</v>
      </c>
      <c r="CT197" s="29">
        <v>0</v>
      </c>
      <c r="CU197" s="361">
        <v>0</v>
      </c>
      <c r="CV197" s="189"/>
    </row>
    <row r="198" spans="1:100" ht="70.5" customHeight="1" x14ac:dyDescent="0.2">
      <c r="A198" s="4" t="s">
        <v>1023</v>
      </c>
      <c r="B198" s="366" t="s">
        <v>1087</v>
      </c>
      <c r="C198" s="191"/>
      <c r="D198" s="191"/>
      <c r="E198" s="191"/>
      <c r="F198" s="191"/>
      <c r="G198" s="191"/>
      <c r="H198" s="191"/>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c r="AG198" s="191"/>
      <c r="AH198" s="191"/>
      <c r="AI198" s="191"/>
      <c r="AJ198" s="191"/>
      <c r="AK198" s="191"/>
      <c r="AL198" s="191"/>
      <c r="AM198" s="191"/>
      <c r="AN198" s="191"/>
      <c r="AO198" s="191"/>
      <c r="AP198" s="191"/>
      <c r="AQ198" s="191"/>
      <c r="AR198" s="191"/>
      <c r="AS198" s="191"/>
      <c r="AT198" s="191"/>
      <c r="AU198" s="191"/>
      <c r="AV198" s="191"/>
      <c r="AW198" s="191"/>
      <c r="AX198" s="191"/>
      <c r="AY198" s="191"/>
      <c r="AZ198" s="191"/>
      <c r="BA198" s="191"/>
      <c r="BB198" s="191"/>
      <c r="BC198" s="191"/>
      <c r="BD198" s="192"/>
      <c r="BE198" s="191"/>
      <c r="BF198" s="191"/>
      <c r="BG198" s="191"/>
      <c r="BH198" s="191"/>
      <c r="BI198" s="191"/>
      <c r="BJ198" s="191"/>
      <c r="BK198" s="191"/>
      <c r="BL198" s="191"/>
      <c r="BM198" s="191"/>
      <c r="BN198" s="191"/>
      <c r="BO198" s="191"/>
      <c r="BP198" s="191"/>
      <c r="BQ198" s="191"/>
      <c r="BR198" s="191"/>
      <c r="BS198" s="191"/>
      <c r="BT198" s="191"/>
      <c r="BU198" s="191"/>
      <c r="BV198" s="191"/>
      <c r="BW198" s="191"/>
      <c r="BX198" s="191"/>
      <c r="BY198" s="191"/>
      <c r="BZ198" s="191"/>
      <c r="CA198" s="191"/>
      <c r="CB198" s="191"/>
      <c r="CC198" s="191"/>
      <c r="CD198" s="191"/>
      <c r="CE198" s="191"/>
      <c r="CF198" s="191"/>
      <c r="CG198" s="191"/>
      <c r="CH198" s="191"/>
      <c r="CI198" s="191"/>
      <c r="CJ198" s="191"/>
      <c r="CK198" s="191"/>
      <c r="CL198" s="191"/>
      <c r="CM198" s="191"/>
      <c r="CN198" s="191"/>
      <c r="CO198" s="191"/>
      <c r="CP198" s="191"/>
      <c r="CQ198" s="191"/>
      <c r="CR198" s="191"/>
      <c r="CS198" s="191"/>
      <c r="CT198" s="191"/>
      <c r="CU198" s="367"/>
      <c r="CV198" s="189"/>
    </row>
    <row r="199" spans="1:100" ht="44.25" customHeight="1" x14ac:dyDescent="0.2">
      <c r="A199" s="4" t="s">
        <v>1036</v>
      </c>
      <c r="B199" s="371" t="s">
        <v>1088</v>
      </c>
      <c r="C199" s="84">
        <f>SUM(D199:DX199)</f>
        <v>56132</v>
      </c>
      <c r="D199" s="29">
        <v>56132</v>
      </c>
      <c r="E199" s="29">
        <v>0</v>
      </c>
      <c r="F199" s="29">
        <v>0</v>
      </c>
      <c r="G199" s="29">
        <v>0</v>
      </c>
      <c r="H199" s="29">
        <v>0</v>
      </c>
      <c r="I199" s="29">
        <v>0</v>
      </c>
      <c r="J199" s="29">
        <v>0</v>
      </c>
      <c r="K199" s="29">
        <v>0</v>
      </c>
      <c r="L199" s="29">
        <v>0</v>
      </c>
      <c r="M199" s="29">
        <v>0</v>
      </c>
      <c r="N199" s="29">
        <v>0</v>
      </c>
      <c r="O199" s="29">
        <v>0</v>
      </c>
      <c r="P199" s="29">
        <v>0</v>
      </c>
      <c r="Q199" s="29">
        <v>0</v>
      </c>
      <c r="R199" s="29">
        <v>0</v>
      </c>
      <c r="S199" s="29">
        <v>0</v>
      </c>
      <c r="T199" s="29">
        <v>0</v>
      </c>
      <c r="U199" s="29">
        <v>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c r="AK199" s="29">
        <v>0</v>
      </c>
      <c r="AL199" s="29">
        <v>0</v>
      </c>
      <c r="AM199" s="29">
        <v>0</v>
      </c>
      <c r="AN199" s="29">
        <v>0</v>
      </c>
      <c r="AO199" s="29">
        <v>0</v>
      </c>
      <c r="AP199" s="29">
        <v>0</v>
      </c>
      <c r="AQ199" s="29">
        <v>0</v>
      </c>
      <c r="AR199" s="29">
        <v>0</v>
      </c>
      <c r="AS199" s="29">
        <v>0</v>
      </c>
      <c r="AT199" s="29">
        <v>0</v>
      </c>
      <c r="AU199" s="29">
        <v>0</v>
      </c>
      <c r="AV199" s="29">
        <v>0</v>
      </c>
      <c r="AW199" s="29">
        <v>0</v>
      </c>
      <c r="AX199" s="29">
        <v>0</v>
      </c>
      <c r="AY199" s="29">
        <v>0</v>
      </c>
      <c r="AZ199" s="29">
        <v>0</v>
      </c>
      <c r="BA199" s="29">
        <v>0</v>
      </c>
      <c r="BB199" s="29">
        <v>0</v>
      </c>
      <c r="BC199" s="29">
        <v>0</v>
      </c>
      <c r="BD199" s="180">
        <v>0</v>
      </c>
      <c r="BE199" s="29">
        <v>0</v>
      </c>
      <c r="BF199" s="29">
        <v>0</v>
      </c>
      <c r="BG199" s="29">
        <v>0</v>
      </c>
      <c r="BH199" s="29">
        <v>0</v>
      </c>
      <c r="BI199" s="29">
        <v>0</v>
      </c>
      <c r="BJ199" s="29">
        <v>0</v>
      </c>
      <c r="BK199" s="29">
        <v>0</v>
      </c>
      <c r="BL199" s="29">
        <v>0</v>
      </c>
      <c r="BM199" s="29">
        <v>0</v>
      </c>
      <c r="BN199" s="29">
        <v>0</v>
      </c>
      <c r="BO199" s="29">
        <v>0</v>
      </c>
      <c r="BP199" s="29">
        <v>0</v>
      </c>
      <c r="BQ199" s="29">
        <v>0</v>
      </c>
      <c r="BR199" s="29">
        <v>0</v>
      </c>
      <c r="BS199" s="29">
        <v>0</v>
      </c>
      <c r="BT199" s="29">
        <v>0</v>
      </c>
      <c r="BU199" s="29">
        <v>0</v>
      </c>
      <c r="BV199" s="29">
        <v>0</v>
      </c>
      <c r="BW199" s="29">
        <v>0</v>
      </c>
      <c r="BX199" s="29">
        <v>0</v>
      </c>
      <c r="BY199" s="29">
        <v>0</v>
      </c>
      <c r="BZ199" s="29">
        <v>0</v>
      </c>
      <c r="CA199" s="29">
        <v>0</v>
      </c>
      <c r="CB199" s="29">
        <v>0</v>
      </c>
      <c r="CC199" s="29">
        <v>0</v>
      </c>
      <c r="CD199" s="29">
        <v>0</v>
      </c>
      <c r="CE199" s="29">
        <v>0</v>
      </c>
      <c r="CF199" s="29">
        <v>0</v>
      </c>
      <c r="CG199" s="29">
        <v>0</v>
      </c>
      <c r="CH199" s="29">
        <v>0</v>
      </c>
      <c r="CI199" s="29">
        <v>0</v>
      </c>
      <c r="CJ199" s="29">
        <v>0</v>
      </c>
      <c r="CK199" s="29">
        <v>0</v>
      </c>
      <c r="CL199" s="29">
        <v>0</v>
      </c>
      <c r="CM199" s="29">
        <v>0</v>
      </c>
      <c r="CN199" s="29">
        <v>0</v>
      </c>
      <c r="CO199" s="29">
        <v>0</v>
      </c>
      <c r="CP199" s="29">
        <v>0</v>
      </c>
      <c r="CQ199" s="29">
        <v>0</v>
      </c>
      <c r="CR199" s="29">
        <v>0</v>
      </c>
      <c r="CS199" s="29">
        <v>0</v>
      </c>
      <c r="CT199" s="29">
        <v>0</v>
      </c>
      <c r="CU199" s="361">
        <v>0</v>
      </c>
      <c r="CV199" s="189"/>
    </row>
    <row r="200" spans="1:100" ht="130.5" customHeight="1" x14ac:dyDescent="0.2">
      <c r="A200" s="4" t="s">
        <v>1024</v>
      </c>
      <c r="B200" s="372" t="s">
        <v>1089</v>
      </c>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193"/>
      <c r="AT200" s="193"/>
      <c r="AU200" s="193"/>
      <c r="AV200" s="193"/>
      <c r="AW200" s="193"/>
      <c r="AX200" s="193"/>
      <c r="AY200" s="193"/>
      <c r="AZ200" s="193"/>
      <c r="BA200" s="193"/>
      <c r="BB200" s="193"/>
      <c r="BC200" s="193"/>
      <c r="BD200" s="194"/>
      <c r="BE200" s="193"/>
      <c r="BF200" s="193"/>
      <c r="BG200" s="193"/>
      <c r="BH200" s="193"/>
      <c r="BI200" s="193"/>
      <c r="BJ200" s="193"/>
      <c r="BK200" s="193"/>
      <c r="BL200" s="193"/>
      <c r="BM200" s="193"/>
      <c r="BN200" s="193"/>
      <c r="BO200" s="193"/>
      <c r="BP200" s="193"/>
      <c r="BQ200" s="193"/>
      <c r="BR200" s="193"/>
      <c r="BS200" s="193"/>
      <c r="BT200" s="193"/>
      <c r="BU200" s="193"/>
      <c r="BV200" s="193"/>
      <c r="BW200" s="193"/>
      <c r="BX200" s="193"/>
      <c r="BY200" s="193"/>
      <c r="BZ200" s="193"/>
      <c r="CA200" s="193"/>
      <c r="CB200" s="193"/>
      <c r="CC200" s="193"/>
      <c r="CD200" s="193"/>
      <c r="CE200" s="193"/>
      <c r="CF200" s="193"/>
      <c r="CG200" s="193"/>
      <c r="CH200" s="193"/>
      <c r="CI200" s="193"/>
      <c r="CJ200" s="193"/>
      <c r="CK200" s="193"/>
      <c r="CL200" s="193"/>
      <c r="CM200" s="193"/>
      <c r="CN200" s="193"/>
      <c r="CO200" s="193"/>
      <c r="CP200" s="193"/>
      <c r="CQ200" s="193"/>
      <c r="CR200" s="193"/>
      <c r="CS200" s="193"/>
      <c r="CT200" s="193"/>
      <c r="CU200" s="365"/>
      <c r="CV200" s="189"/>
    </row>
    <row r="201" spans="1:100" ht="38.25" x14ac:dyDescent="0.2">
      <c r="A201" s="4" t="s">
        <v>1024</v>
      </c>
      <c r="B201" s="373" t="s">
        <v>1090</v>
      </c>
      <c r="C201" s="191"/>
      <c r="D201" s="191"/>
      <c r="E201" s="191"/>
      <c r="F201" s="191"/>
      <c r="G201" s="191"/>
      <c r="H201" s="191"/>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191"/>
      <c r="AH201" s="191"/>
      <c r="AI201" s="191"/>
      <c r="AJ201" s="191"/>
      <c r="AK201" s="191"/>
      <c r="AL201" s="191"/>
      <c r="AM201" s="191"/>
      <c r="AN201" s="191"/>
      <c r="AO201" s="191"/>
      <c r="AP201" s="191"/>
      <c r="AQ201" s="191"/>
      <c r="AR201" s="191"/>
      <c r="AS201" s="191"/>
      <c r="AT201" s="191"/>
      <c r="AU201" s="191"/>
      <c r="AV201" s="191"/>
      <c r="AW201" s="191"/>
      <c r="AX201" s="191"/>
      <c r="AY201" s="191"/>
      <c r="AZ201" s="191"/>
      <c r="BA201" s="191"/>
      <c r="BB201" s="191"/>
      <c r="BC201" s="191"/>
      <c r="BD201" s="192"/>
      <c r="BE201" s="191"/>
      <c r="BF201" s="191"/>
      <c r="BG201" s="191"/>
      <c r="BH201" s="191"/>
      <c r="BI201" s="191"/>
      <c r="BJ201" s="191"/>
      <c r="BK201" s="191"/>
      <c r="BL201" s="191"/>
      <c r="BM201" s="191"/>
      <c r="BN201" s="191"/>
      <c r="BO201" s="191"/>
      <c r="BP201" s="191"/>
      <c r="BQ201" s="191"/>
      <c r="BR201" s="191"/>
      <c r="BS201" s="191"/>
      <c r="BT201" s="191"/>
      <c r="BU201" s="191"/>
      <c r="BV201" s="191"/>
      <c r="BW201" s="191"/>
      <c r="BX201" s="191"/>
      <c r="BY201" s="191"/>
      <c r="BZ201" s="191"/>
      <c r="CA201" s="191"/>
      <c r="CB201" s="191"/>
      <c r="CC201" s="191"/>
      <c r="CD201" s="191"/>
      <c r="CE201" s="191"/>
      <c r="CF201" s="191"/>
      <c r="CG201" s="191"/>
      <c r="CH201" s="191"/>
      <c r="CI201" s="191"/>
      <c r="CJ201" s="191"/>
      <c r="CK201" s="191"/>
      <c r="CL201" s="191"/>
      <c r="CM201" s="191"/>
      <c r="CN201" s="191"/>
      <c r="CO201" s="191"/>
      <c r="CP201" s="191"/>
      <c r="CQ201" s="191"/>
      <c r="CR201" s="191"/>
      <c r="CS201" s="191"/>
      <c r="CT201" s="191"/>
      <c r="CU201" s="367"/>
      <c r="CV201" s="189"/>
    </row>
    <row r="202" spans="1:100" ht="38.25" x14ac:dyDescent="0.2">
      <c r="A202" s="341" t="s">
        <v>1035</v>
      </c>
      <c r="B202" s="369" t="s">
        <v>1091</v>
      </c>
      <c r="C202" s="84">
        <f>SUM(D202:DX202)</f>
        <v>3938185</v>
      </c>
      <c r="D202" s="29">
        <v>0</v>
      </c>
      <c r="E202" s="29">
        <v>114928</v>
      </c>
      <c r="F202" s="29">
        <v>0</v>
      </c>
      <c r="G202" s="29">
        <v>2240233</v>
      </c>
      <c r="H202" s="29">
        <v>975954</v>
      </c>
      <c r="I202" s="29">
        <v>0</v>
      </c>
      <c r="J202" s="29">
        <v>0</v>
      </c>
      <c r="K202" s="29">
        <v>0</v>
      </c>
      <c r="L202" s="29">
        <v>0</v>
      </c>
      <c r="M202" s="29">
        <v>0</v>
      </c>
      <c r="N202" s="29">
        <v>607070</v>
      </c>
      <c r="O202" s="29">
        <v>0</v>
      </c>
      <c r="P202" s="29">
        <v>0</v>
      </c>
      <c r="Q202" s="29">
        <v>0</v>
      </c>
      <c r="R202" s="29">
        <v>0</v>
      </c>
      <c r="S202" s="29">
        <v>0</v>
      </c>
      <c r="T202" s="29">
        <v>0</v>
      </c>
      <c r="U202" s="29">
        <v>0</v>
      </c>
      <c r="V202" s="29">
        <v>0</v>
      </c>
      <c r="W202" s="29">
        <v>0</v>
      </c>
      <c r="X202" s="29">
        <v>0</v>
      </c>
      <c r="Y202" s="29">
        <v>0</v>
      </c>
      <c r="Z202" s="29">
        <v>0</v>
      </c>
      <c r="AA202" s="29">
        <v>0</v>
      </c>
      <c r="AB202" s="29">
        <v>0</v>
      </c>
      <c r="AC202" s="29">
        <v>0</v>
      </c>
      <c r="AD202" s="29">
        <v>0</v>
      </c>
      <c r="AE202" s="29">
        <v>0</v>
      </c>
      <c r="AF202" s="29">
        <v>0</v>
      </c>
      <c r="AG202" s="29">
        <v>0</v>
      </c>
      <c r="AH202" s="29">
        <v>0</v>
      </c>
      <c r="AI202" s="29">
        <v>0</v>
      </c>
      <c r="AJ202" s="29">
        <v>0</v>
      </c>
      <c r="AK202" s="29">
        <v>0</v>
      </c>
      <c r="AL202" s="29">
        <v>0</v>
      </c>
      <c r="AM202" s="29">
        <v>0</v>
      </c>
      <c r="AN202" s="29">
        <v>0</v>
      </c>
      <c r="AO202" s="29">
        <v>0</v>
      </c>
      <c r="AP202" s="29">
        <v>0</v>
      </c>
      <c r="AQ202" s="29">
        <v>0</v>
      </c>
      <c r="AR202" s="29">
        <v>0</v>
      </c>
      <c r="AS202" s="29">
        <v>0</v>
      </c>
      <c r="AT202" s="29">
        <v>0</v>
      </c>
      <c r="AU202" s="29">
        <v>0</v>
      </c>
      <c r="AV202" s="29">
        <v>0</v>
      </c>
      <c r="AW202" s="29">
        <v>0</v>
      </c>
      <c r="AX202" s="29">
        <v>0</v>
      </c>
      <c r="AY202" s="29">
        <v>0</v>
      </c>
      <c r="AZ202" s="29">
        <v>0</v>
      </c>
      <c r="BA202" s="29">
        <v>0</v>
      </c>
      <c r="BB202" s="29">
        <v>0</v>
      </c>
      <c r="BC202" s="29">
        <v>0</v>
      </c>
      <c r="BD202" s="180">
        <v>0</v>
      </c>
      <c r="BE202" s="29">
        <v>0</v>
      </c>
      <c r="BF202" s="29">
        <v>0</v>
      </c>
      <c r="BG202" s="29">
        <v>0</v>
      </c>
      <c r="BH202" s="29">
        <v>0</v>
      </c>
      <c r="BI202" s="29">
        <v>0</v>
      </c>
      <c r="BJ202" s="29">
        <v>0</v>
      </c>
      <c r="BK202" s="29">
        <v>0</v>
      </c>
      <c r="BL202" s="29">
        <v>0</v>
      </c>
      <c r="BM202" s="29">
        <v>0</v>
      </c>
      <c r="BN202" s="29">
        <v>0</v>
      </c>
      <c r="BO202" s="29">
        <v>0</v>
      </c>
      <c r="BP202" s="29">
        <v>0</v>
      </c>
      <c r="BQ202" s="29">
        <v>0</v>
      </c>
      <c r="BR202" s="29">
        <v>0</v>
      </c>
      <c r="BS202" s="29">
        <v>0</v>
      </c>
      <c r="BT202" s="29">
        <v>0</v>
      </c>
      <c r="BU202" s="29">
        <v>0</v>
      </c>
      <c r="BV202" s="29">
        <v>0</v>
      </c>
      <c r="BW202" s="29">
        <v>0</v>
      </c>
      <c r="BX202" s="29">
        <v>0</v>
      </c>
      <c r="BY202" s="29">
        <v>0</v>
      </c>
      <c r="BZ202" s="29">
        <v>0</v>
      </c>
      <c r="CA202" s="29">
        <v>0</v>
      </c>
      <c r="CB202" s="29">
        <v>0</v>
      </c>
      <c r="CC202" s="29">
        <v>0</v>
      </c>
      <c r="CD202" s="29">
        <v>0</v>
      </c>
      <c r="CE202" s="29">
        <v>0</v>
      </c>
      <c r="CF202" s="29">
        <v>0</v>
      </c>
      <c r="CG202" s="29">
        <v>0</v>
      </c>
      <c r="CH202" s="29">
        <v>0</v>
      </c>
      <c r="CI202" s="29">
        <v>0</v>
      </c>
      <c r="CJ202" s="29">
        <v>0</v>
      </c>
      <c r="CK202" s="29">
        <v>0</v>
      </c>
      <c r="CL202" s="29">
        <v>0</v>
      </c>
      <c r="CM202" s="29">
        <v>0</v>
      </c>
      <c r="CN202" s="29">
        <v>0</v>
      </c>
      <c r="CO202" s="29">
        <v>0</v>
      </c>
      <c r="CP202" s="29">
        <v>0</v>
      </c>
      <c r="CQ202" s="29">
        <v>0</v>
      </c>
      <c r="CR202" s="29">
        <v>0</v>
      </c>
      <c r="CS202" s="29">
        <v>0</v>
      </c>
      <c r="CT202" s="29">
        <v>0</v>
      </c>
      <c r="CU202" s="361">
        <v>0</v>
      </c>
      <c r="CV202" s="189"/>
    </row>
    <row r="203" spans="1:100" ht="38.25" x14ac:dyDescent="0.2">
      <c r="A203" s="341" t="s">
        <v>1035</v>
      </c>
      <c r="B203" s="369" t="s">
        <v>1092</v>
      </c>
      <c r="C203" s="84">
        <f>SUM(D203:DX203)</f>
        <v>1751782</v>
      </c>
      <c r="D203" s="29">
        <v>0</v>
      </c>
      <c r="E203" s="29">
        <v>0</v>
      </c>
      <c r="F203" s="29">
        <v>0</v>
      </c>
      <c r="G203" s="29">
        <v>1600000</v>
      </c>
      <c r="H203" s="29">
        <v>0</v>
      </c>
      <c r="I203" s="29">
        <v>0</v>
      </c>
      <c r="J203" s="29">
        <v>0</v>
      </c>
      <c r="K203" s="29">
        <v>0</v>
      </c>
      <c r="L203" s="29">
        <v>0</v>
      </c>
      <c r="M203" s="29">
        <v>0</v>
      </c>
      <c r="N203" s="29">
        <v>151782</v>
      </c>
      <c r="O203" s="29">
        <v>0</v>
      </c>
      <c r="P203" s="29">
        <v>0</v>
      </c>
      <c r="Q203" s="29">
        <v>0</v>
      </c>
      <c r="R203" s="29">
        <v>0</v>
      </c>
      <c r="S203" s="29">
        <v>0</v>
      </c>
      <c r="T203" s="29">
        <v>0</v>
      </c>
      <c r="U203" s="29">
        <v>0</v>
      </c>
      <c r="V203" s="29">
        <v>0</v>
      </c>
      <c r="W203" s="29">
        <v>0</v>
      </c>
      <c r="X203" s="29">
        <v>0</v>
      </c>
      <c r="Y203" s="29">
        <v>0</v>
      </c>
      <c r="Z203" s="29">
        <v>0</v>
      </c>
      <c r="AA203" s="29">
        <v>0</v>
      </c>
      <c r="AB203" s="29">
        <v>0</v>
      </c>
      <c r="AC203" s="29">
        <v>0</v>
      </c>
      <c r="AD203" s="29">
        <v>0</v>
      </c>
      <c r="AE203" s="29">
        <v>0</v>
      </c>
      <c r="AF203" s="29">
        <v>0</v>
      </c>
      <c r="AG203" s="29">
        <v>0</v>
      </c>
      <c r="AH203" s="29">
        <v>0</v>
      </c>
      <c r="AI203" s="29">
        <v>0</v>
      </c>
      <c r="AJ203" s="29">
        <v>0</v>
      </c>
      <c r="AK203" s="29">
        <v>0</v>
      </c>
      <c r="AL203" s="29">
        <v>0</v>
      </c>
      <c r="AM203" s="29">
        <v>0</v>
      </c>
      <c r="AN203" s="29">
        <v>0</v>
      </c>
      <c r="AO203" s="29">
        <v>0</v>
      </c>
      <c r="AP203" s="29">
        <v>0</v>
      </c>
      <c r="AQ203" s="29">
        <v>0</v>
      </c>
      <c r="AR203" s="29">
        <v>0</v>
      </c>
      <c r="AS203" s="29">
        <v>0</v>
      </c>
      <c r="AT203" s="29">
        <v>0</v>
      </c>
      <c r="AU203" s="29">
        <v>0</v>
      </c>
      <c r="AV203" s="29">
        <v>0</v>
      </c>
      <c r="AW203" s="29">
        <v>0</v>
      </c>
      <c r="AX203" s="29">
        <v>0</v>
      </c>
      <c r="AY203" s="29">
        <v>0</v>
      </c>
      <c r="AZ203" s="29">
        <v>0</v>
      </c>
      <c r="BA203" s="29">
        <v>0</v>
      </c>
      <c r="BB203" s="29">
        <v>0</v>
      </c>
      <c r="BC203" s="29">
        <v>0</v>
      </c>
      <c r="BD203" s="180">
        <v>0</v>
      </c>
      <c r="BE203" s="29">
        <v>0</v>
      </c>
      <c r="BF203" s="29">
        <v>0</v>
      </c>
      <c r="BG203" s="29">
        <v>0</v>
      </c>
      <c r="BH203" s="29">
        <v>0</v>
      </c>
      <c r="BI203" s="29">
        <v>0</v>
      </c>
      <c r="BJ203" s="29">
        <v>0</v>
      </c>
      <c r="BK203" s="29">
        <v>0</v>
      </c>
      <c r="BL203" s="29">
        <v>0</v>
      </c>
      <c r="BM203" s="29">
        <v>0</v>
      </c>
      <c r="BN203" s="29">
        <v>0</v>
      </c>
      <c r="BO203" s="29">
        <v>0</v>
      </c>
      <c r="BP203" s="29">
        <v>0</v>
      </c>
      <c r="BQ203" s="29">
        <v>0</v>
      </c>
      <c r="BR203" s="29">
        <v>0</v>
      </c>
      <c r="BS203" s="29">
        <v>0</v>
      </c>
      <c r="BT203" s="29">
        <v>0</v>
      </c>
      <c r="BU203" s="29">
        <v>0</v>
      </c>
      <c r="BV203" s="29">
        <v>0</v>
      </c>
      <c r="BW203" s="29">
        <v>0</v>
      </c>
      <c r="BX203" s="29">
        <v>0</v>
      </c>
      <c r="BY203" s="29">
        <v>0</v>
      </c>
      <c r="BZ203" s="29">
        <v>0</v>
      </c>
      <c r="CA203" s="29">
        <v>0</v>
      </c>
      <c r="CB203" s="29">
        <v>0</v>
      </c>
      <c r="CC203" s="29">
        <v>0</v>
      </c>
      <c r="CD203" s="29">
        <v>0</v>
      </c>
      <c r="CE203" s="29">
        <v>0</v>
      </c>
      <c r="CF203" s="29">
        <v>0</v>
      </c>
      <c r="CG203" s="29">
        <v>0</v>
      </c>
      <c r="CH203" s="29">
        <v>0</v>
      </c>
      <c r="CI203" s="29">
        <v>0</v>
      </c>
      <c r="CJ203" s="29">
        <v>0</v>
      </c>
      <c r="CK203" s="29">
        <v>0</v>
      </c>
      <c r="CL203" s="29">
        <v>0</v>
      </c>
      <c r="CM203" s="29">
        <v>0</v>
      </c>
      <c r="CN203" s="29">
        <v>0</v>
      </c>
      <c r="CO203" s="29">
        <v>0</v>
      </c>
      <c r="CP203" s="29">
        <v>0</v>
      </c>
      <c r="CQ203" s="29">
        <v>0</v>
      </c>
      <c r="CR203" s="29">
        <v>0</v>
      </c>
      <c r="CS203" s="29">
        <v>0</v>
      </c>
      <c r="CT203" s="29">
        <v>0</v>
      </c>
      <c r="CU203" s="361">
        <v>0</v>
      </c>
      <c r="CV203" s="189"/>
    </row>
    <row r="204" spans="1:100" ht="25.5" x14ac:dyDescent="0.2">
      <c r="A204" s="4" t="s">
        <v>1024</v>
      </c>
      <c r="B204" s="373" t="s">
        <v>1093</v>
      </c>
      <c r="C204" s="191"/>
      <c r="D204" s="191"/>
      <c r="E204" s="191"/>
      <c r="F204" s="191"/>
      <c r="G204" s="191"/>
      <c r="H204" s="191"/>
      <c r="I204" s="191"/>
      <c r="J204" s="191"/>
      <c r="K204" s="191"/>
      <c r="L204" s="191"/>
      <c r="M204" s="191"/>
      <c r="N204" s="191"/>
      <c r="O204" s="191"/>
      <c r="P204" s="191"/>
      <c r="Q204" s="191"/>
      <c r="R204" s="191"/>
      <c r="S204" s="191"/>
      <c r="T204" s="191"/>
      <c r="U204" s="191"/>
      <c r="V204" s="191"/>
      <c r="W204" s="191"/>
      <c r="X204" s="191"/>
      <c r="Y204" s="191"/>
      <c r="Z204" s="191"/>
      <c r="AA204" s="191"/>
      <c r="AB204" s="191"/>
      <c r="AC204" s="191"/>
      <c r="AD204" s="191"/>
      <c r="AE204" s="191"/>
      <c r="AF204" s="191"/>
      <c r="AG204" s="191"/>
      <c r="AH204" s="191"/>
      <c r="AI204" s="191"/>
      <c r="AJ204" s="191"/>
      <c r="AK204" s="191"/>
      <c r="AL204" s="191"/>
      <c r="AM204" s="191"/>
      <c r="AN204" s="191"/>
      <c r="AO204" s="191"/>
      <c r="AP204" s="191"/>
      <c r="AQ204" s="191"/>
      <c r="AR204" s="191"/>
      <c r="AS204" s="191"/>
      <c r="AT204" s="191"/>
      <c r="AU204" s="191"/>
      <c r="AV204" s="191"/>
      <c r="AW204" s="191"/>
      <c r="AX204" s="191"/>
      <c r="AY204" s="191"/>
      <c r="AZ204" s="191"/>
      <c r="BA204" s="191"/>
      <c r="BB204" s="191"/>
      <c r="BC204" s="191"/>
      <c r="BD204" s="192"/>
      <c r="BE204" s="191"/>
      <c r="BF204" s="191"/>
      <c r="BG204" s="191"/>
      <c r="BH204" s="191"/>
      <c r="BI204" s="191"/>
      <c r="BJ204" s="191"/>
      <c r="BK204" s="191"/>
      <c r="BL204" s="191"/>
      <c r="BM204" s="191"/>
      <c r="BN204" s="191"/>
      <c r="BO204" s="191"/>
      <c r="BP204" s="191"/>
      <c r="BQ204" s="191"/>
      <c r="BR204" s="191"/>
      <c r="BS204" s="191"/>
      <c r="BT204" s="191"/>
      <c r="BU204" s="191"/>
      <c r="BV204" s="191"/>
      <c r="BW204" s="191"/>
      <c r="BX204" s="191"/>
      <c r="BY204" s="191"/>
      <c r="BZ204" s="191"/>
      <c r="CA204" s="191"/>
      <c r="CB204" s="191"/>
      <c r="CC204" s="191"/>
      <c r="CD204" s="191"/>
      <c r="CE204" s="191"/>
      <c r="CF204" s="191"/>
      <c r="CG204" s="191"/>
      <c r="CH204" s="191"/>
      <c r="CI204" s="191"/>
      <c r="CJ204" s="191"/>
      <c r="CK204" s="191"/>
      <c r="CL204" s="191"/>
      <c r="CM204" s="191"/>
      <c r="CN204" s="191"/>
      <c r="CO204" s="191"/>
      <c r="CP204" s="191"/>
      <c r="CQ204" s="191"/>
      <c r="CR204" s="191"/>
      <c r="CS204" s="191"/>
      <c r="CT204" s="191"/>
      <c r="CU204" s="367"/>
      <c r="CV204" s="189"/>
    </row>
    <row r="205" spans="1:100" ht="38.25" x14ac:dyDescent="0.2">
      <c r="A205" s="341" t="s">
        <v>1031</v>
      </c>
      <c r="B205" s="369" t="s">
        <v>1094</v>
      </c>
      <c r="C205" s="84">
        <f>SUM(D205:DX205)</f>
        <v>810000</v>
      </c>
      <c r="D205" s="29">
        <v>0</v>
      </c>
      <c r="E205" s="29">
        <v>0</v>
      </c>
      <c r="F205" s="29">
        <v>0</v>
      </c>
      <c r="G205" s="29">
        <v>810000</v>
      </c>
      <c r="H205" s="29">
        <v>0</v>
      </c>
      <c r="I205" s="29">
        <v>0</v>
      </c>
      <c r="J205" s="29">
        <v>0</v>
      </c>
      <c r="K205" s="29">
        <v>0</v>
      </c>
      <c r="L205" s="29">
        <v>0</v>
      </c>
      <c r="M205" s="29">
        <v>0</v>
      </c>
      <c r="N205" s="29">
        <v>0</v>
      </c>
      <c r="O205" s="29">
        <v>0</v>
      </c>
      <c r="P205" s="29">
        <v>0</v>
      </c>
      <c r="Q205" s="29">
        <v>0</v>
      </c>
      <c r="R205" s="29">
        <v>0</v>
      </c>
      <c r="S205" s="29">
        <v>0</v>
      </c>
      <c r="T205" s="29">
        <v>0</v>
      </c>
      <c r="U205" s="29">
        <v>0</v>
      </c>
      <c r="V205" s="29">
        <v>0</v>
      </c>
      <c r="W205" s="29">
        <v>0</v>
      </c>
      <c r="X205" s="29">
        <v>0</v>
      </c>
      <c r="Y205" s="29">
        <v>0</v>
      </c>
      <c r="Z205" s="29">
        <v>0</v>
      </c>
      <c r="AA205" s="29">
        <v>0</v>
      </c>
      <c r="AB205" s="29">
        <v>0</v>
      </c>
      <c r="AC205" s="29">
        <v>0</v>
      </c>
      <c r="AD205" s="29">
        <v>0</v>
      </c>
      <c r="AE205" s="29">
        <v>0</v>
      </c>
      <c r="AF205" s="29">
        <v>0</v>
      </c>
      <c r="AG205" s="29">
        <v>0</v>
      </c>
      <c r="AH205" s="29">
        <v>0</v>
      </c>
      <c r="AI205" s="29">
        <v>0</v>
      </c>
      <c r="AJ205" s="29">
        <v>0</v>
      </c>
      <c r="AK205" s="29">
        <v>0</v>
      </c>
      <c r="AL205" s="29">
        <v>0</v>
      </c>
      <c r="AM205" s="29">
        <v>0</v>
      </c>
      <c r="AN205" s="29">
        <v>0</v>
      </c>
      <c r="AO205" s="29">
        <v>0</v>
      </c>
      <c r="AP205" s="29">
        <v>0</v>
      </c>
      <c r="AQ205" s="29">
        <v>0</v>
      </c>
      <c r="AR205" s="29">
        <v>0</v>
      </c>
      <c r="AS205" s="29">
        <v>0</v>
      </c>
      <c r="AT205" s="29">
        <v>0</v>
      </c>
      <c r="AU205" s="29">
        <v>0</v>
      </c>
      <c r="AV205" s="29">
        <v>0</v>
      </c>
      <c r="AW205" s="29">
        <v>0</v>
      </c>
      <c r="AX205" s="29">
        <v>0</v>
      </c>
      <c r="AY205" s="29">
        <v>0</v>
      </c>
      <c r="AZ205" s="29">
        <v>0</v>
      </c>
      <c r="BA205" s="29">
        <v>0</v>
      </c>
      <c r="BB205" s="29">
        <v>0</v>
      </c>
      <c r="BC205" s="29">
        <v>0</v>
      </c>
      <c r="BD205" s="180">
        <v>0</v>
      </c>
      <c r="BE205" s="29">
        <v>0</v>
      </c>
      <c r="BF205" s="29">
        <v>0</v>
      </c>
      <c r="BG205" s="29">
        <v>0</v>
      </c>
      <c r="BH205" s="29">
        <v>0</v>
      </c>
      <c r="BI205" s="29">
        <v>0</v>
      </c>
      <c r="BJ205" s="29">
        <v>0</v>
      </c>
      <c r="BK205" s="29">
        <v>0</v>
      </c>
      <c r="BL205" s="29">
        <v>0</v>
      </c>
      <c r="BM205" s="29">
        <v>0</v>
      </c>
      <c r="BN205" s="29">
        <v>0</v>
      </c>
      <c r="BO205" s="29">
        <v>0</v>
      </c>
      <c r="BP205" s="29">
        <v>0</v>
      </c>
      <c r="BQ205" s="29">
        <v>0</v>
      </c>
      <c r="BR205" s="29">
        <v>0</v>
      </c>
      <c r="BS205" s="29">
        <v>0</v>
      </c>
      <c r="BT205" s="29">
        <v>0</v>
      </c>
      <c r="BU205" s="29">
        <v>0</v>
      </c>
      <c r="BV205" s="29">
        <v>0</v>
      </c>
      <c r="BW205" s="29">
        <v>0</v>
      </c>
      <c r="BX205" s="29">
        <v>0</v>
      </c>
      <c r="BY205" s="29">
        <v>0</v>
      </c>
      <c r="BZ205" s="29">
        <v>0</v>
      </c>
      <c r="CA205" s="29">
        <v>0</v>
      </c>
      <c r="CB205" s="29">
        <v>0</v>
      </c>
      <c r="CC205" s="29">
        <v>0</v>
      </c>
      <c r="CD205" s="29">
        <v>0</v>
      </c>
      <c r="CE205" s="29">
        <v>0</v>
      </c>
      <c r="CF205" s="29">
        <v>0</v>
      </c>
      <c r="CG205" s="29">
        <v>0</v>
      </c>
      <c r="CH205" s="29">
        <v>0</v>
      </c>
      <c r="CI205" s="29">
        <v>0</v>
      </c>
      <c r="CJ205" s="29">
        <v>0</v>
      </c>
      <c r="CK205" s="29">
        <v>0</v>
      </c>
      <c r="CL205" s="29">
        <v>0</v>
      </c>
      <c r="CM205" s="29">
        <v>0</v>
      </c>
      <c r="CN205" s="29">
        <v>0</v>
      </c>
      <c r="CO205" s="29">
        <v>0</v>
      </c>
      <c r="CP205" s="29">
        <v>0</v>
      </c>
      <c r="CQ205" s="29">
        <v>0</v>
      </c>
      <c r="CR205" s="29">
        <v>0</v>
      </c>
      <c r="CS205" s="29">
        <v>0</v>
      </c>
      <c r="CT205" s="29">
        <v>0</v>
      </c>
      <c r="CU205" s="361">
        <v>0</v>
      </c>
      <c r="CV205" s="189"/>
    </row>
    <row r="206" spans="1:100" ht="76.5" x14ac:dyDescent="0.2">
      <c r="A206" s="341" t="s">
        <v>1034</v>
      </c>
      <c r="B206" s="369" t="s">
        <v>315</v>
      </c>
      <c r="C206" s="84">
        <f>SUM(D206:DX206)</f>
        <v>178172</v>
      </c>
      <c r="D206" s="29">
        <v>168172</v>
      </c>
      <c r="E206" s="29">
        <v>0</v>
      </c>
      <c r="F206" s="29">
        <v>0</v>
      </c>
      <c r="G206" s="29">
        <v>0</v>
      </c>
      <c r="H206" s="29">
        <v>0</v>
      </c>
      <c r="I206" s="29">
        <v>0</v>
      </c>
      <c r="J206" s="29">
        <v>0</v>
      </c>
      <c r="K206" s="29">
        <v>0</v>
      </c>
      <c r="L206" s="29">
        <v>0</v>
      </c>
      <c r="M206" s="29">
        <v>0</v>
      </c>
      <c r="N206" s="29">
        <v>0</v>
      </c>
      <c r="O206" s="29">
        <v>0</v>
      </c>
      <c r="P206" s="29">
        <v>0</v>
      </c>
      <c r="Q206" s="29">
        <v>10000</v>
      </c>
      <c r="R206" s="29">
        <v>0</v>
      </c>
      <c r="S206" s="29">
        <v>0</v>
      </c>
      <c r="T206" s="29">
        <v>0</v>
      </c>
      <c r="U206" s="29">
        <v>0</v>
      </c>
      <c r="V206" s="29">
        <v>0</v>
      </c>
      <c r="W206" s="29">
        <v>0</v>
      </c>
      <c r="X206" s="29">
        <v>0</v>
      </c>
      <c r="Y206" s="29">
        <v>0</v>
      </c>
      <c r="Z206" s="29">
        <v>0</v>
      </c>
      <c r="AA206" s="29">
        <v>0</v>
      </c>
      <c r="AB206" s="29">
        <v>0</v>
      </c>
      <c r="AC206" s="29">
        <v>0</v>
      </c>
      <c r="AD206" s="29">
        <v>0</v>
      </c>
      <c r="AE206" s="29">
        <v>0</v>
      </c>
      <c r="AF206" s="29">
        <v>0</v>
      </c>
      <c r="AG206" s="29">
        <v>0</v>
      </c>
      <c r="AH206" s="29">
        <v>0</v>
      </c>
      <c r="AI206" s="29">
        <v>0</v>
      </c>
      <c r="AJ206" s="29">
        <v>0</v>
      </c>
      <c r="AK206" s="29">
        <v>0</v>
      </c>
      <c r="AL206" s="29">
        <v>0</v>
      </c>
      <c r="AM206" s="29">
        <v>0</v>
      </c>
      <c r="AN206" s="29">
        <v>0</v>
      </c>
      <c r="AO206" s="29">
        <v>0</v>
      </c>
      <c r="AP206" s="29">
        <v>0</v>
      </c>
      <c r="AQ206" s="29">
        <v>0</v>
      </c>
      <c r="AR206" s="29">
        <v>0</v>
      </c>
      <c r="AS206" s="29">
        <v>0</v>
      </c>
      <c r="AT206" s="29">
        <v>0</v>
      </c>
      <c r="AU206" s="29">
        <v>0</v>
      </c>
      <c r="AV206" s="29">
        <v>0</v>
      </c>
      <c r="AW206" s="29">
        <v>0</v>
      </c>
      <c r="AX206" s="29">
        <v>0</v>
      </c>
      <c r="AY206" s="29">
        <v>0</v>
      </c>
      <c r="AZ206" s="29">
        <v>0</v>
      </c>
      <c r="BA206" s="29">
        <v>0</v>
      </c>
      <c r="BB206" s="29">
        <v>0</v>
      </c>
      <c r="BC206" s="29">
        <v>0</v>
      </c>
      <c r="BD206" s="180">
        <v>0</v>
      </c>
      <c r="BE206" s="29">
        <v>0</v>
      </c>
      <c r="BF206" s="29">
        <v>0</v>
      </c>
      <c r="BG206" s="29">
        <v>0</v>
      </c>
      <c r="BH206" s="29">
        <v>0</v>
      </c>
      <c r="BI206" s="29">
        <v>0</v>
      </c>
      <c r="BJ206" s="29">
        <v>0</v>
      </c>
      <c r="BK206" s="29">
        <v>0</v>
      </c>
      <c r="BL206" s="29">
        <v>0</v>
      </c>
      <c r="BM206" s="29">
        <v>0</v>
      </c>
      <c r="BN206" s="29">
        <v>0</v>
      </c>
      <c r="BO206" s="29">
        <v>0</v>
      </c>
      <c r="BP206" s="29">
        <v>0</v>
      </c>
      <c r="BQ206" s="29">
        <v>0</v>
      </c>
      <c r="BR206" s="29">
        <v>0</v>
      </c>
      <c r="BS206" s="29">
        <v>0</v>
      </c>
      <c r="BT206" s="29">
        <v>0</v>
      </c>
      <c r="BU206" s="29">
        <v>0</v>
      </c>
      <c r="BV206" s="29">
        <v>0</v>
      </c>
      <c r="BW206" s="29">
        <v>0</v>
      </c>
      <c r="BX206" s="29">
        <v>0</v>
      </c>
      <c r="BY206" s="29">
        <v>0</v>
      </c>
      <c r="BZ206" s="29">
        <v>0</v>
      </c>
      <c r="CA206" s="29">
        <v>0</v>
      </c>
      <c r="CB206" s="29">
        <v>0</v>
      </c>
      <c r="CC206" s="29">
        <v>0</v>
      </c>
      <c r="CD206" s="29">
        <v>0</v>
      </c>
      <c r="CE206" s="29">
        <v>0</v>
      </c>
      <c r="CF206" s="29">
        <v>0</v>
      </c>
      <c r="CG206" s="29">
        <v>0</v>
      </c>
      <c r="CH206" s="29">
        <v>0</v>
      </c>
      <c r="CI206" s="29">
        <v>0</v>
      </c>
      <c r="CJ206" s="29">
        <v>0</v>
      </c>
      <c r="CK206" s="29">
        <v>0</v>
      </c>
      <c r="CL206" s="29">
        <v>0</v>
      </c>
      <c r="CM206" s="29">
        <v>0</v>
      </c>
      <c r="CN206" s="29">
        <v>0</v>
      </c>
      <c r="CO206" s="29">
        <v>0</v>
      </c>
      <c r="CP206" s="29">
        <v>0</v>
      </c>
      <c r="CQ206" s="29">
        <v>0</v>
      </c>
      <c r="CR206" s="29">
        <v>0</v>
      </c>
      <c r="CS206" s="29">
        <v>0</v>
      </c>
      <c r="CT206" s="29">
        <v>0</v>
      </c>
      <c r="CU206" s="361">
        <v>0</v>
      </c>
      <c r="CV206" s="189"/>
    </row>
    <row r="207" spans="1:100" ht="38.25" x14ac:dyDescent="0.2">
      <c r="A207" s="4" t="s">
        <v>1024</v>
      </c>
      <c r="B207" s="373" t="s">
        <v>1095</v>
      </c>
      <c r="C207" s="191"/>
      <c r="D207" s="191"/>
      <c r="E207" s="191"/>
      <c r="F207" s="191"/>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1"/>
      <c r="AC207" s="191"/>
      <c r="AD207" s="191"/>
      <c r="AE207" s="191"/>
      <c r="AF207" s="191"/>
      <c r="AG207" s="191"/>
      <c r="AH207" s="191"/>
      <c r="AI207" s="191"/>
      <c r="AJ207" s="191"/>
      <c r="AK207" s="191"/>
      <c r="AL207" s="191"/>
      <c r="AM207" s="191"/>
      <c r="AN207" s="191"/>
      <c r="AO207" s="191"/>
      <c r="AP207" s="191"/>
      <c r="AQ207" s="191"/>
      <c r="AR207" s="191"/>
      <c r="AS207" s="191"/>
      <c r="AT207" s="191"/>
      <c r="AU207" s="191"/>
      <c r="AV207" s="191"/>
      <c r="AW207" s="191"/>
      <c r="AX207" s="191"/>
      <c r="AY207" s="191"/>
      <c r="AZ207" s="191"/>
      <c r="BA207" s="191"/>
      <c r="BB207" s="191"/>
      <c r="BC207" s="191"/>
      <c r="BD207" s="192"/>
      <c r="BE207" s="191"/>
      <c r="BF207" s="191"/>
      <c r="BG207" s="191"/>
      <c r="BH207" s="191"/>
      <c r="BI207" s="191"/>
      <c r="BJ207" s="191"/>
      <c r="BK207" s="191"/>
      <c r="BL207" s="191"/>
      <c r="BM207" s="191"/>
      <c r="BN207" s="191"/>
      <c r="BO207" s="191"/>
      <c r="BP207" s="191"/>
      <c r="BQ207" s="191"/>
      <c r="BR207" s="191"/>
      <c r="BS207" s="191"/>
      <c r="BT207" s="191"/>
      <c r="BU207" s="191"/>
      <c r="BV207" s="191"/>
      <c r="BW207" s="191"/>
      <c r="BX207" s="191"/>
      <c r="BY207" s="191"/>
      <c r="BZ207" s="191"/>
      <c r="CA207" s="191"/>
      <c r="CB207" s="191"/>
      <c r="CC207" s="191"/>
      <c r="CD207" s="191"/>
      <c r="CE207" s="191"/>
      <c r="CF207" s="191"/>
      <c r="CG207" s="191"/>
      <c r="CH207" s="191"/>
      <c r="CI207" s="191"/>
      <c r="CJ207" s="191"/>
      <c r="CK207" s="191"/>
      <c r="CL207" s="191"/>
      <c r="CM207" s="191"/>
      <c r="CN207" s="191"/>
      <c r="CO207" s="191"/>
      <c r="CP207" s="191"/>
      <c r="CQ207" s="191"/>
      <c r="CR207" s="191"/>
      <c r="CS207" s="191"/>
      <c r="CT207" s="191"/>
      <c r="CU207" s="367"/>
      <c r="CV207" s="189"/>
    </row>
    <row r="208" spans="1:100" ht="41.25" customHeight="1" x14ac:dyDescent="0.2">
      <c r="A208" s="341" t="s">
        <v>1031</v>
      </c>
      <c r="B208" s="369" t="s">
        <v>1096</v>
      </c>
      <c r="C208" s="84">
        <f>SUM(D208:DX208)</f>
        <v>23382707.669999998</v>
      </c>
      <c r="D208" s="29">
        <v>18028242.949999999</v>
      </c>
      <c r="E208" s="29">
        <v>13</v>
      </c>
      <c r="F208" s="29">
        <v>0</v>
      </c>
      <c r="G208" s="29">
        <v>875000</v>
      </c>
      <c r="H208" s="29">
        <v>0</v>
      </c>
      <c r="I208" s="29">
        <v>0</v>
      </c>
      <c r="J208" s="29">
        <v>0</v>
      </c>
      <c r="K208" s="29">
        <v>0</v>
      </c>
      <c r="L208" s="29">
        <v>0</v>
      </c>
      <c r="M208" s="29">
        <v>108729</v>
      </c>
      <c r="N208" s="29">
        <v>0</v>
      </c>
      <c r="O208" s="29">
        <v>865000</v>
      </c>
      <c r="P208" s="29">
        <v>635000</v>
      </c>
      <c r="Q208" s="29">
        <v>1239322.72</v>
      </c>
      <c r="R208" s="29">
        <v>0</v>
      </c>
      <c r="S208" s="29">
        <v>310000</v>
      </c>
      <c r="T208" s="29">
        <v>700000</v>
      </c>
      <c r="U208" s="29">
        <v>0</v>
      </c>
      <c r="V208" s="29">
        <v>0</v>
      </c>
      <c r="W208" s="29">
        <v>0</v>
      </c>
      <c r="X208" s="29">
        <v>0</v>
      </c>
      <c r="Y208" s="29">
        <v>0</v>
      </c>
      <c r="Z208" s="29">
        <v>0</v>
      </c>
      <c r="AA208" s="29">
        <v>0</v>
      </c>
      <c r="AB208" s="29">
        <v>0</v>
      </c>
      <c r="AC208" s="29">
        <v>0</v>
      </c>
      <c r="AD208" s="29">
        <v>0</v>
      </c>
      <c r="AE208" s="29">
        <v>621400</v>
      </c>
      <c r="AF208" s="29">
        <v>0</v>
      </c>
      <c r="AG208" s="29">
        <v>0</v>
      </c>
      <c r="AH208" s="29">
        <v>0</v>
      </c>
      <c r="AI208" s="29">
        <v>0</v>
      </c>
      <c r="AJ208" s="29">
        <v>0</v>
      </c>
      <c r="AK208" s="29">
        <v>0</v>
      </c>
      <c r="AL208" s="29">
        <v>0</v>
      </c>
      <c r="AM208" s="29">
        <v>0</v>
      </c>
      <c r="AN208" s="29">
        <v>0</v>
      </c>
      <c r="AO208" s="29">
        <v>0</v>
      </c>
      <c r="AP208" s="29">
        <v>0</v>
      </c>
      <c r="AQ208" s="29">
        <v>0</v>
      </c>
      <c r="AR208" s="29">
        <v>0</v>
      </c>
      <c r="AS208" s="29">
        <v>0</v>
      </c>
      <c r="AT208" s="29">
        <v>0</v>
      </c>
      <c r="AU208" s="29">
        <v>0</v>
      </c>
      <c r="AV208" s="29">
        <v>0</v>
      </c>
      <c r="AW208" s="29">
        <v>0</v>
      </c>
      <c r="AX208" s="29">
        <v>0</v>
      </c>
      <c r="AY208" s="29">
        <v>0</v>
      </c>
      <c r="AZ208" s="29">
        <v>0</v>
      </c>
      <c r="BA208" s="29">
        <v>0</v>
      </c>
      <c r="BB208" s="29">
        <v>0</v>
      </c>
      <c r="BC208" s="29">
        <v>0</v>
      </c>
      <c r="BD208" s="180">
        <v>0</v>
      </c>
      <c r="BE208" s="29">
        <v>0</v>
      </c>
      <c r="BF208" s="29">
        <v>0</v>
      </c>
      <c r="BG208" s="29">
        <v>0</v>
      </c>
      <c r="BH208" s="29">
        <v>0</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361">
        <v>0</v>
      </c>
      <c r="CV208" s="189"/>
    </row>
    <row r="209" spans="1:100" ht="51" x14ac:dyDescent="0.2">
      <c r="A209" s="341" t="s">
        <v>1032</v>
      </c>
      <c r="B209" s="369" t="s">
        <v>1097</v>
      </c>
      <c r="C209" s="84">
        <f>SUM(D209:DX209)</f>
        <v>285363</v>
      </c>
      <c r="D209" s="29">
        <v>170363</v>
      </c>
      <c r="E209" s="29">
        <v>0</v>
      </c>
      <c r="F209" s="29">
        <v>0</v>
      </c>
      <c r="G209" s="29">
        <v>50000</v>
      </c>
      <c r="H209" s="29">
        <v>0</v>
      </c>
      <c r="I209" s="29">
        <v>0</v>
      </c>
      <c r="J209" s="29">
        <v>0</v>
      </c>
      <c r="K209" s="29">
        <v>0</v>
      </c>
      <c r="L209" s="29">
        <v>0</v>
      </c>
      <c r="M209" s="29">
        <v>0</v>
      </c>
      <c r="N209" s="29">
        <v>0</v>
      </c>
      <c r="O209" s="29">
        <v>10000</v>
      </c>
      <c r="P209" s="29">
        <v>15000</v>
      </c>
      <c r="Q209" s="29">
        <v>25000</v>
      </c>
      <c r="R209" s="29">
        <v>0</v>
      </c>
      <c r="S209" s="29">
        <v>15000</v>
      </c>
      <c r="T209" s="29">
        <v>0</v>
      </c>
      <c r="U209" s="29">
        <v>0</v>
      </c>
      <c r="V209" s="29">
        <v>0</v>
      </c>
      <c r="W209" s="29">
        <v>0</v>
      </c>
      <c r="X209" s="29">
        <v>0</v>
      </c>
      <c r="Y209" s="29">
        <v>0</v>
      </c>
      <c r="Z209" s="29">
        <v>0</v>
      </c>
      <c r="AA209" s="29">
        <v>0</v>
      </c>
      <c r="AB209" s="29">
        <v>0</v>
      </c>
      <c r="AC209" s="29">
        <v>0</v>
      </c>
      <c r="AD209" s="29">
        <v>0</v>
      </c>
      <c r="AE209" s="29">
        <v>0</v>
      </c>
      <c r="AF209" s="29">
        <v>0</v>
      </c>
      <c r="AG209" s="29">
        <v>0</v>
      </c>
      <c r="AH209" s="29">
        <v>0</v>
      </c>
      <c r="AI209" s="29">
        <v>0</v>
      </c>
      <c r="AJ209" s="29">
        <v>0</v>
      </c>
      <c r="AK209" s="29">
        <v>0</v>
      </c>
      <c r="AL209" s="29">
        <v>0</v>
      </c>
      <c r="AM209" s="29">
        <v>0</v>
      </c>
      <c r="AN209" s="29">
        <v>0</v>
      </c>
      <c r="AO209" s="29">
        <v>0</v>
      </c>
      <c r="AP209" s="29">
        <v>0</v>
      </c>
      <c r="AQ209" s="29">
        <v>0</v>
      </c>
      <c r="AR209" s="29">
        <v>0</v>
      </c>
      <c r="AS209" s="29">
        <v>0</v>
      </c>
      <c r="AT209" s="29">
        <v>0</v>
      </c>
      <c r="AU209" s="29">
        <v>0</v>
      </c>
      <c r="AV209" s="29">
        <v>0</v>
      </c>
      <c r="AW209" s="29">
        <v>0</v>
      </c>
      <c r="AX209" s="29">
        <v>0</v>
      </c>
      <c r="AY209" s="29">
        <v>0</v>
      </c>
      <c r="AZ209" s="29">
        <v>0</v>
      </c>
      <c r="BA209" s="29">
        <v>0</v>
      </c>
      <c r="BB209" s="29">
        <v>0</v>
      </c>
      <c r="BC209" s="29">
        <v>0</v>
      </c>
      <c r="BD209" s="180">
        <v>0</v>
      </c>
      <c r="BE209" s="29">
        <v>0</v>
      </c>
      <c r="BF209" s="29">
        <v>0</v>
      </c>
      <c r="BG209" s="29">
        <v>0</v>
      </c>
      <c r="BH209" s="29">
        <v>0</v>
      </c>
      <c r="BI209" s="29">
        <v>0</v>
      </c>
      <c r="BJ209" s="29">
        <v>0</v>
      </c>
      <c r="BK209" s="29">
        <v>0</v>
      </c>
      <c r="BL209" s="29">
        <v>0</v>
      </c>
      <c r="BM209" s="29">
        <v>0</v>
      </c>
      <c r="BN209" s="29">
        <v>0</v>
      </c>
      <c r="BO209" s="29">
        <v>0</v>
      </c>
      <c r="BP209" s="29">
        <v>0</v>
      </c>
      <c r="BQ209" s="29">
        <v>0</v>
      </c>
      <c r="BR209" s="29">
        <v>0</v>
      </c>
      <c r="BS209" s="29">
        <v>0</v>
      </c>
      <c r="BT209" s="29">
        <v>0</v>
      </c>
      <c r="BU209" s="29">
        <v>0</v>
      </c>
      <c r="BV209" s="29">
        <v>0</v>
      </c>
      <c r="BW209" s="29">
        <v>0</v>
      </c>
      <c r="BX209" s="29">
        <v>0</v>
      </c>
      <c r="BY209" s="29">
        <v>0</v>
      </c>
      <c r="BZ209" s="29">
        <v>0</v>
      </c>
      <c r="CA209" s="29">
        <v>0</v>
      </c>
      <c r="CB209" s="29">
        <v>0</v>
      </c>
      <c r="CC209" s="29">
        <v>0</v>
      </c>
      <c r="CD209" s="29">
        <v>0</v>
      </c>
      <c r="CE209" s="29">
        <v>0</v>
      </c>
      <c r="CF209" s="29">
        <v>0</v>
      </c>
      <c r="CG209" s="29">
        <v>0</v>
      </c>
      <c r="CH209" s="29">
        <v>0</v>
      </c>
      <c r="CI209" s="29">
        <v>0</v>
      </c>
      <c r="CJ209" s="29">
        <v>0</v>
      </c>
      <c r="CK209" s="29">
        <v>0</v>
      </c>
      <c r="CL209" s="29">
        <v>0</v>
      </c>
      <c r="CM209" s="29">
        <v>0</v>
      </c>
      <c r="CN209" s="29">
        <v>0</v>
      </c>
      <c r="CO209" s="29">
        <v>0</v>
      </c>
      <c r="CP209" s="29">
        <v>0</v>
      </c>
      <c r="CQ209" s="29">
        <v>0</v>
      </c>
      <c r="CR209" s="29">
        <v>0</v>
      </c>
      <c r="CS209" s="29">
        <v>0</v>
      </c>
      <c r="CT209" s="29">
        <v>0</v>
      </c>
      <c r="CU209" s="361">
        <v>0</v>
      </c>
      <c r="CV209" s="189"/>
    </row>
    <row r="210" spans="1:100" ht="25.5" x14ac:dyDescent="0.2">
      <c r="A210" s="341" t="s">
        <v>1033</v>
      </c>
      <c r="B210" s="369" t="s">
        <v>1098</v>
      </c>
      <c r="C210" s="84">
        <f>SUM(D210:DX210)</f>
        <v>2063317.79</v>
      </c>
      <c r="D210" s="29">
        <v>184556</v>
      </c>
      <c r="E210" s="29">
        <v>350280</v>
      </c>
      <c r="F210" s="29">
        <v>0</v>
      </c>
      <c r="G210" s="29"/>
      <c r="H210" s="29">
        <v>0</v>
      </c>
      <c r="I210" s="29">
        <v>0</v>
      </c>
      <c r="J210" s="29">
        <v>0</v>
      </c>
      <c r="K210" s="29">
        <v>0</v>
      </c>
      <c r="L210" s="29">
        <v>0</v>
      </c>
      <c r="M210" s="29">
        <v>0</v>
      </c>
      <c r="N210" s="29">
        <v>170686.81</v>
      </c>
      <c r="O210" s="29">
        <v>125000</v>
      </c>
      <c r="P210" s="29">
        <v>250000</v>
      </c>
      <c r="Q210" s="29">
        <v>874794.98</v>
      </c>
      <c r="R210" s="29">
        <v>75000</v>
      </c>
      <c r="S210" s="29">
        <v>0</v>
      </c>
      <c r="T210" s="29">
        <v>0</v>
      </c>
      <c r="U210" s="29">
        <v>0</v>
      </c>
      <c r="V210" s="29">
        <v>0</v>
      </c>
      <c r="W210" s="29">
        <v>0</v>
      </c>
      <c r="X210" s="29">
        <v>0</v>
      </c>
      <c r="Y210" s="29">
        <v>0</v>
      </c>
      <c r="Z210" s="29">
        <v>33000</v>
      </c>
      <c r="AA210" s="29">
        <v>0</v>
      </c>
      <c r="AB210" s="29">
        <v>0</v>
      </c>
      <c r="AC210" s="29">
        <v>0</v>
      </c>
      <c r="AD210" s="29">
        <v>0</v>
      </c>
      <c r="AE210" s="29">
        <v>0</v>
      </c>
      <c r="AF210" s="29">
        <v>0</v>
      </c>
      <c r="AG210" s="29">
        <v>0</v>
      </c>
      <c r="AH210" s="29">
        <v>0</v>
      </c>
      <c r="AI210" s="29">
        <v>0</v>
      </c>
      <c r="AJ210" s="29">
        <v>0</v>
      </c>
      <c r="AK210" s="29">
        <v>0</v>
      </c>
      <c r="AL210" s="29">
        <v>0</v>
      </c>
      <c r="AM210" s="29">
        <v>0</v>
      </c>
      <c r="AN210" s="29">
        <v>0</v>
      </c>
      <c r="AO210" s="29">
        <v>0</v>
      </c>
      <c r="AP210" s="29">
        <v>0</v>
      </c>
      <c r="AQ210" s="29">
        <v>0</v>
      </c>
      <c r="AR210" s="29">
        <v>0</v>
      </c>
      <c r="AS210" s="29">
        <v>0</v>
      </c>
      <c r="AT210" s="29">
        <v>0</v>
      </c>
      <c r="AU210" s="29">
        <v>0</v>
      </c>
      <c r="AV210" s="29">
        <v>0</v>
      </c>
      <c r="AW210" s="29">
        <v>0</v>
      </c>
      <c r="AX210" s="29">
        <v>0</v>
      </c>
      <c r="AY210" s="29">
        <v>0</v>
      </c>
      <c r="AZ210" s="29">
        <v>0</v>
      </c>
      <c r="BA210" s="29">
        <v>0</v>
      </c>
      <c r="BB210" s="29">
        <v>0</v>
      </c>
      <c r="BC210" s="29">
        <v>0</v>
      </c>
      <c r="BD210" s="180">
        <v>0</v>
      </c>
      <c r="BE210" s="29">
        <v>0</v>
      </c>
      <c r="BF210" s="29">
        <v>0</v>
      </c>
      <c r="BG210" s="29">
        <v>0</v>
      </c>
      <c r="BH210" s="29">
        <v>0</v>
      </c>
      <c r="BI210" s="29">
        <v>0</v>
      </c>
      <c r="BJ210" s="29">
        <v>0</v>
      </c>
      <c r="BK210" s="29">
        <v>0</v>
      </c>
      <c r="BL210" s="29">
        <v>0</v>
      </c>
      <c r="BM210" s="29">
        <v>0</v>
      </c>
      <c r="BN210" s="29">
        <v>0</v>
      </c>
      <c r="BO210" s="29">
        <v>0</v>
      </c>
      <c r="BP210" s="29">
        <v>0</v>
      </c>
      <c r="BQ210" s="29">
        <v>0</v>
      </c>
      <c r="BR210" s="29">
        <v>0</v>
      </c>
      <c r="BS210" s="29">
        <v>0</v>
      </c>
      <c r="BT210" s="29">
        <v>0</v>
      </c>
      <c r="BU210" s="29">
        <v>0</v>
      </c>
      <c r="BV210" s="29">
        <v>0</v>
      </c>
      <c r="BW210" s="29">
        <v>0</v>
      </c>
      <c r="BX210" s="29">
        <v>0</v>
      </c>
      <c r="BY210" s="29">
        <v>0</v>
      </c>
      <c r="BZ210" s="29">
        <v>0</v>
      </c>
      <c r="CA210" s="29">
        <v>0</v>
      </c>
      <c r="CB210" s="29">
        <v>0</v>
      </c>
      <c r="CC210" s="29">
        <v>0</v>
      </c>
      <c r="CD210" s="29">
        <v>0</v>
      </c>
      <c r="CE210" s="29">
        <v>0</v>
      </c>
      <c r="CF210" s="29">
        <v>0</v>
      </c>
      <c r="CG210" s="29">
        <v>0</v>
      </c>
      <c r="CH210" s="29">
        <v>0</v>
      </c>
      <c r="CI210" s="29">
        <v>0</v>
      </c>
      <c r="CJ210" s="29">
        <v>0</v>
      </c>
      <c r="CK210" s="29">
        <v>0</v>
      </c>
      <c r="CL210" s="29">
        <v>0</v>
      </c>
      <c r="CM210" s="29">
        <v>0</v>
      </c>
      <c r="CN210" s="29">
        <v>0</v>
      </c>
      <c r="CO210" s="29">
        <v>0</v>
      </c>
      <c r="CP210" s="29">
        <v>0</v>
      </c>
      <c r="CQ210" s="29">
        <v>0</v>
      </c>
      <c r="CR210" s="29">
        <v>0</v>
      </c>
      <c r="CS210" s="29">
        <v>0</v>
      </c>
      <c r="CT210" s="29">
        <v>0</v>
      </c>
      <c r="CU210" s="361">
        <v>0</v>
      </c>
      <c r="CV210" s="189"/>
    </row>
    <row r="211" spans="1:100" ht="51" x14ac:dyDescent="0.2">
      <c r="A211" s="4" t="s">
        <v>1025</v>
      </c>
      <c r="B211" s="372" t="s">
        <v>1099</v>
      </c>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c r="AM211" s="193"/>
      <c r="AN211" s="193"/>
      <c r="AO211" s="193"/>
      <c r="AP211" s="193"/>
      <c r="AQ211" s="193"/>
      <c r="AR211" s="193"/>
      <c r="AS211" s="193"/>
      <c r="AT211" s="193"/>
      <c r="AU211" s="193"/>
      <c r="AV211" s="193"/>
      <c r="AW211" s="193"/>
      <c r="AX211" s="193"/>
      <c r="AY211" s="193"/>
      <c r="AZ211" s="193"/>
      <c r="BA211" s="193"/>
      <c r="BB211" s="193"/>
      <c r="BC211" s="193"/>
      <c r="BD211" s="194"/>
      <c r="BE211" s="193"/>
      <c r="BF211" s="193"/>
      <c r="BG211" s="193"/>
      <c r="BH211" s="193"/>
      <c r="BI211" s="193"/>
      <c r="BJ211" s="193"/>
      <c r="BK211" s="193"/>
      <c r="BL211" s="193"/>
      <c r="BM211" s="193"/>
      <c r="BN211" s="193"/>
      <c r="BO211" s="193"/>
      <c r="BP211" s="193"/>
      <c r="BQ211" s="193"/>
      <c r="BR211" s="193"/>
      <c r="BS211" s="193"/>
      <c r="BT211" s="193"/>
      <c r="BU211" s="193"/>
      <c r="BV211" s="193"/>
      <c r="BW211" s="193"/>
      <c r="BX211" s="193"/>
      <c r="BY211" s="193"/>
      <c r="BZ211" s="193"/>
      <c r="CA211" s="193"/>
      <c r="CB211" s="193"/>
      <c r="CC211" s="193"/>
      <c r="CD211" s="193"/>
      <c r="CE211" s="193"/>
      <c r="CF211" s="193"/>
      <c r="CG211" s="193"/>
      <c r="CH211" s="193"/>
      <c r="CI211" s="193"/>
      <c r="CJ211" s="193"/>
      <c r="CK211" s="193"/>
      <c r="CL211" s="193"/>
      <c r="CM211" s="193"/>
      <c r="CN211" s="193"/>
      <c r="CO211" s="193"/>
      <c r="CP211" s="193"/>
      <c r="CQ211" s="193"/>
      <c r="CR211" s="193"/>
      <c r="CS211" s="193"/>
      <c r="CT211" s="193"/>
      <c r="CU211" s="365"/>
      <c r="CV211" s="189"/>
    </row>
    <row r="212" spans="1:100" ht="38.25" x14ac:dyDescent="0.2">
      <c r="A212" s="4" t="s">
        <v>1025</v>
      </c>
      <c r="B212" s="366" t="s">
        <v>1100</v>
      </c>
      <c r="C212" s="191"/>
      <c r="D212" s="191"/>
      <c r="E212" s="191"/>
      <c r="F212" s="191"/>
      <c r="G212" s="191"/>
      <c r="H212" s="191"/>
      <c r="I212" s="191"/>
      <c r="J212" s="191"/>
      <c r="K212" s="191"/>
      <c r="L212" s="191"/>
      <c r="M212" s="191"/>
      <c r="N212" s="191"/>
      <c r="O212" s="191"/>
      <c r="P212" s="191"/>
      <c r="Q212" s="191"/>
      <c r="R212" s="191"/>
      <c r="S212" s="191"/>
      <c r="T212" s="191"/>
      <c r="U212" s="191"/>
      <c r="V212" s="191"/>
      <c r="W212" s="191"/>
      <c r="X212" s="191"/>
      <c r="Y212" s="191"/>
      <c r="Z212" s="191"/>
      <c r="AA212" s="191"/>
      <c r="AB212" s="191"/>
      <c r="AC212" s="191"/>
      <c r="AD212" s="191"/>
      <c r="AE212" s="191"/>
      <c r="AF212" s="191"/>
      <c r="AG212" s="191"/>
      <c r="AH212" s="191"/>
      <c r="AI212" s="191"/>
      <c r="AJ212" s="191"/>
      <c r="AK212" s="191"/>
      <c r="AL212" s="191"/>
      <c r="AM212" s="191"/>
      <c r="AN212" s="191"/>
      <c r="AO212" s="191"/>
      <c r="AP212" s="191"/>
      <c r="AQ212" s="191"/>
      <c r="AR212" s="191"/>
      <c r="AS212" s="191"/>
      <c r="AT212" s="191"/>
      <c r="AU212" s="191"/>
      <c r="AV212" s="191"/>
      <c r="AW212" s="191"/>
      <c r="AX212" s="191"/>
      <c r="AY212" s="191"/>
      <c r="AZ212" s="191"/>
      <c r="BA212" s="191"/>
      <c r="BB212" s="191"/>
      <c r="BC212" s="191"/>
      <c r="BD212" s="192"/>
      <c r="BE212" s="191"/>
      <c r="BF212" s="191"/>
      <c r="BG212" s="191"/>
      <c r="BH212" s="191"/>
      <c r="BI212" s="191"/>
      <c r="BJ212" s="191"/>
      <c r="BK212" s="191"/>
      <c r="BL212" s="191"/>
      <c r="BM212" s="191"/>
      <c r="BN212" s="191"/>
      <c r="BO212" s="191"/>
      <c r="BP212" s="191"/>
      <c r="BQ212" s="191"/>
      <c r="BR212" s="191"/>
      <c r="BS212" s="191"/>
      <c r="BT212" s="191"/>
      <c r="BU212" s="191"/>
      <c r="BV212" s="191"/>
      <c r="BW212" s="191"/>
      <c r="BX212" s="191"/>
      <c r="BY212" s="191"/>
      <c r="BZ212" s="191"/>
      <c r="CA212" s="191"/>
      <c r="CB212" s="191"/>
      <c r="CC212" s="191"/>
      <c r="CD212" s="191"/>
      <c r="CE212" s="191"/>
      <c r="CF212" s="191"/>
      <c r="CG212" s="191"/>
      <c r="CH212" s="191"/>
      <c r="CI212" s="191"/>
      <c r="CJ212" s="191"/>
      <c r="CK212" s="191"/>
      <c r="CL212" s="191"/>
      <c r="CM212" s="191"/>
      <c r="CN212" s="191"/>
      <c r="CO212" s="191"/>
      <c r="CP212" s="191"/>
      <c r="CQ212" s="191"/>
      <c r="CR212" s="191"/>
      <c r="CS212" s="191"/>
      <c r="CT212" s="191"/>
      <c r="CU212" s="367"/>
      <c r="CV212" s="189"/>
    </row>
    <row r="213" spans="1:100" ht="38.25" x14ac:dyDescent="0.2">
      <c r="A213" s="4" t="s">
        <v>1025</v>
      </c>
      <c r="B213" s="371" t="s">
        <v>1101</v>
      </c>
      <c r="C213" s="84">
        <f>SUM(D213:DX213)</f>
        <v>2726795.0746354936</v>
      </c>
      <c r="D213" s="29">
        <v>213379.07158670903</v>
      </c>
      <c r="E213" s="29">
        <v>0</v>
      </c>
      <c r="F213" s="29">
        <v>0</v>
      </c>
      <c r="G213" s="29">
        <v>2007027</v>
      </c>
      <c r="H213" s="29">
        <v>0</v>
      </c>
      <c r="I213" s="29">
        <v>0</v>
      </c>
      <c r="J213" s="29">
        <v>0</v>
      </c>
      <c r="K213" s="29">
        <v>0</v>
      </c>
      <c r="L213" s="29">
        <v>0</v>
      </c>
      <c r="M213" s="29">
        <v>0</v>
      </c>
      <c r="N213" s="29">
        <v>0</v>
      </c>
      <c r="O213" s="29">
        <v>0</v>
      </c>
      <c r="P213" s="29">
        <v>0</v>
      </c>
      <c r="Q213" s="29">
        <v>0</v>
      </c>
      <c r="R213" s="29">
        <v>0</v>
      </c>
      <c r="S213" s="29">
        <v>0</v>
      </c>
      <c r="T213" s="29">
        <v>0</v>
      </c>
      <c r="U213" s="29">
        <v>0</v>
      </c>
      <c r="V213" s="29">
        <v>0</v>
      </c>
      <c r="W213" s="29">
        <v>0</v>
      </c>
      <c r="X213" s="29">
        <v>0</v>
      </c>
      <c r="Y213" s="29">
        <v>0</v>
      </c>
      <c r="Z213" s="29">
        <v>0</v>
      </c>
      <c r="AA213" s="29">
        <v>0</v>
      </c>
      <c r="AB213" s="29">
        <v>0</v>
      </c>
      <c r="AC213" s="29">
        <v>0</v>
      </c>
      <c r="AD213" s="29">
        <v>0</v>
      </c>
      <c r="AE213" s="29">
        <v>0</v>
      </c>
      <c r="AF213" s="29">
        <v>0</v>
      </c>
      <c r="AG213" s="29">
        <v>0</v>
      </c>
      <c r="AH213" s="29">
        <v>0</v>
      </c>
      <c r="AI213" s="29">
        <v>0</v>
      </c>
      <c r="AJ213" s="29">
        <v>0</v>
      </c>
      <c r="AK213" s="29">
        <v>0</v>
      </c>
      <c r="AL213" s="29">
        <v>0</v>
      </c>
      <c r="AM213" s="29">
        <v>0</v>
      </c>
      <c r="AN213" s="29">
        <v>0</v>
      </c>
      <c r="AO213" s="29">
        <v>0</v>
      </c>
      <c r="AP213" s="29">
        <v>0</v>
      </c>
      <c r="AQ213" s="29">
        <v>0</v>
      </c>
      <c r="AR213" s="29">
        <v>0</v>
      </c>
      <c r="AS213" s="29">
        <v>0</v>
      </c>
      <c r="AT213" s="29">
        <v>0</v>
      </c>
      <c r="AU213" s="29">
        <v>0</v>
      </c>
      <c r="AV213" s="29">
        <v>0</v>
      </c>
      <c r="AW213" s="29">
        <v>95669</v>
      </c>
      <c r="AX213" s="29">
        <v>0</v>
      </c>
      <c r="AY213" s="29">
        <v>0</v>
      </c>
      <c r="AZ213" s="29">
        <v>325229.41578799312</v>
      </c>
      <c r="BA213" s="29">
        <v>22196.587260791432</v>
      </c>
      <c r="BB213" s="29">
        <v>63294</v>
      </c>
      <c r="BC213" s="29">
        <v>0</v>
      </c>
      <c r="BD213" s="180">
        <v>0</v>
      </c>
      <c r="BE213" s="29">
        <v>0</v>
      </c>
      <c r="BF213" s="29">
        <v>0</v>
      </c>
      <c r="BG213" s="29">
        <v>0</v>
      </c>
      <c r="BH213" s="29">
        <v>0</v>
      </c>
      <c r="BI213" s="29">
        <v>0</v>
      </c>
      <c r="BJ213" s="29">
        <v>0</v>
      </c>
      <c r="BK213" s="29">
        <v>0</v>
      </c>
      <c r="BL213" s="29">
        <v>0</v>
      </c>
      <c r="BM213" s="29">
        <v>0</v>
      </c>
      <c r="BN213" s="29">
        <v>0</v>
      </c>
      <c r="BO213" s="29">
        <v>0</v>
      </c>
      <c r="BP213" s="29">
        <v>0</v>
      </c>
      <c r="BQ213" s="29">
        <v>0</v>
      </c>
      <c r="BR213" s="29">
        <v>0</v>
      </c>
      <c r="BS213" s="29">
        <v>0</v>
      </c>
      <c r="BT213" s="29">
        <v>0</v>
      </c>
      <c r="BU213" s="29">
        <v>0</v>
      </c>
      <c r="BV213" s="29">
        <v>0</v>
      </c>
      <c r="BW213" s="29">
        <v>0</v>
      </c>
      <c r="BX213" s="29">
        <v>0</v>
      </c>
      <c r="BY213" s="29">
        <v>0</v>
      </c>
      <c r="BZ213" s="29">
        <v>0</v>
      </c>
      <c r="CA213" s="29">
        <v>0</v>
      </c>
      <c r="CB213" s="29">
        <v>0</v>
      </c>
      <c r="CC213" s="29">
        <v>0</v>
      </c>
      <c r="CD213" s="29">
        <v>0</v>
      </c>
      <c r="CE213" s="29">
        <v>0</v>
      </c>
      <c r="CF213" s="29">
        <v>0</v>
      </c>
      <c r="CG213" s="29">
        <v>0</v>
      </c>
      <c r="CH213" s="29">
        <v>0</v>
      </c>
      <c r="CI213" s="29">
        <v>0</v>
      </c>
      <c r="CJ213" s="29">
        <v>0</v>
      </c>
      <c r="CK213" s="29">
        <v>0</v>
      </c>
      <c r="CL213" s="29">
        <v>0</v>
      </c>
      <c r="CM213" s="29">
        <v>0</v>
      </c>
      <c r="CN213" s="29">
        <v>0</v>
      </c>
      <c r="CO213" s="29">
        <v>0</v>
      </c>
      <c r="CP213" s="29">
        <v>0</v>
      </c>
      <c r="CQ213" s="29">
        <v>0</v>
      </c>
      <c r="CR213" s="29">
        <v>0</v>
      </c>
      <c r="CS213" s="29">
        <v>0</v>
      </c>
      <c r="CT213" s="29">
        <v>0</v>
      </c>
      <c r="CU213" s="361">
        <v>0</v>
      </c>
      <c r="CV213" s="189"/>
    </row>
    <row r="214" spans="1:100" ht="38.25" x14ac:dyDescent="0.2">
      <c r="A214" s="4" t="s">
        <v>1025</v>
      </c>
      <c r="B214" s="371" t="s">
        <v>1102</v>
      </c>
      <c r="C214" s="84">
        <f>SUM(D214:DX214)</f>
        <v>3500256.7452693302</v>
      </c>
      <c r="D214" s="29">
        <v>284351.86744147661</v>
      </c>
      <c r="E214" s="29">
        <v>0</v>
      </c>
      <c r="F214" s="29">
        <v>0</v>
      </c>
      <c r="G214" s="29">
        <v>2429138</v>
      </c>
      <c r="H214" s="29">
        <v>0</v>
      </c>
      <c r="I214" s="29">
        <v>0</v>
      </c>
      <c r="J214" s="29">
        <v>0</v>
      </c>
      <c r="K214" s="29">
        <v>0</v>
      </c>
      <c r="L214" s="29">
        <v>0</v>
      </c>
      <c r="M214" s="29">
        <v>0</v>
      </c>
      <c r="N214" s="29">
        <v>0</v>
      </c>
      <c r="O214" s="29">
        <v>0</v>
      </c>
      <c r="P214" s="29">
        <v>0</v>
      </c>
      <c r="Q214" s="29">
        <v>0</v>
      </c>
      <c r="R214" s="29">
        <v>0</v>
      </c>
      <c r="S214" s="29">
        <v>0</v>
      </c>
      <c r="T214" s="29">
        <v>0</v>
      </c>
      <c r="U214" s="29">
        <v>0</v>
      </c>
      <c r="V214" s="29">
        <v>0</v>
      </c>
      <c r="W214" s="29">
        <v>0</v>
      </c>
      <c r="X214" s="29">
        <v>0</v>
      </c>
      <c r="Y214" s="29">
        <v>0</v>
      </c>
      <c r="Z214" s="29">
        <v>0</v>
      </c>
      <c r="AA214" s="29">
        <v>0</v>
      </c>
      <c r="AB214" s="29">
        <v>0</v>
      </c>
      <c r="AC214" s="29">
        <v>0</v>
      </c>
      <c r="AD214" s="29">
        <v>0</v>
      </c>
      <c r="AE214" s="29">
        <v>0</v>
      </c>
      <c r="AF214" s="29">
        <v>0</v>
      </c>
      <c r="AG214" s="29">
        <v>0</v>
      </c>
      <c r="AH214" s="29">
        <v>0</v>
      </c>
      <c r="AI214" s="29">
        <v>0</v>
      </c>
      <c r="AJ214" s="29">
        <v>0</v>
      </c>
      <c r="AK214" s="29">
        <v>0</v>
      </c>
      <c r="AL214" s="29">
        <v>0</v>
      </c>
      <c r="AM214" s="29">
        <v>0</v>
      </c>
      <c r="AN214" s="29">
        <v>0</v>
      </c>
      <c r="AO214" s="29">
        <v>0</v>
      </c>
      <c r="AP214" s="29">
        <v>0</v>
      </c>
      <c r="AQ214" s="29">
        <v>0</v>
      </c>
      <c r="AR214" s="29">
        <v>0</v>
      </c>
      <c r="AS214" s="29">
        <v>0</v>
      </c>
      <c r="AT214" s="29">
        <v>0</v>
      </c>
      <c r="AU214" s="29">
        <v>0</v>
      </c>
      <c r="AV214" s="29">
        <v>0</v>
      </c>
      <c r="AW214" s="29">
        <v>90495</v>
      </c>
      <c r="AX214" s="29">
        <v>39276.642274303114</v>
      </c>
      <c r="AY214" s="29">
        <v>0</v>
      </c>
      <c r="AZ214" s="29">
        <v>386241.09600520006</v>
      </c>
      <c r="BA214" s="29">
        <v>105312.13954835062</v>
      </c>
      <c r="BB214" s="29">
        <v>142942</v>
      </c>
      <c r="BC214" s="29">
        <v>0</v>
      </c>
      <c r="BD214" s="180">
        <v>0</v>
      </c>
      <c r="BE214" s="29">
        <v>0</v>
      </c>
      <c r="BF214" s="29">
        <v>0</v>
      </c>
      <c r="BG214" s="29">
        <v>0</v>
      </c>
      <c r="BH214" s="29">
        <v>0</v>
      </c>
      <c r="BI214" s="29">
        <v>0</v>
      </c>
      <c r="BJ214" s="29">
        <v>0</v>
      </c>
      <c r="BK214" s="29">
        <v>0</v>
      </c>
      <c r="BL214" s="29">
        <v>22500</v>
      </c>
      <c r="BM214" s="29">
        <v>0</v>
      </c>
      <c r="BN214" s="29">
        <v>0</v>
      </c>
      <c r="BO214" s="29">
        <v>0</v>
      </c>
      <c r="BP214" s="29">
        <v>0</v>
      </c>
      <c r="BQ214" s="29">
        <v>0</v>
      </c>
      <c r="BR214" s="29">
        <v>0</v>
      </c>
      <c r="BS214" s="29">
        <v>0</v>
      </c>
      <c r="BT214" s="29">
        <v>0</v>
      </c>
      <c r="BU214" s="29">
        <v>0</v>
      </c>
      <c r="BV214" s="29">
        <v>0</v>
      </c>
      <c r="BW214" s="29">
        <v>0</v>
      </c>
      <c r="BX214" s="29">
        <v>0</v>
      </c>
      <c r="BY214" s="29">
        <v>0</v>
      </c>
      <c r="BZ214" s="29">
        <v>0</v>
      </c>
      <c r="CA214" s="29">
        <v>0</v>
      </c>
      <c r="CB214" s="29">
        <v>0</v>
      </c>
      <c r="CC214" s="29">
        <v>0</v>
      </c>
      <c r="CD214" s="29">
        <v>0</v>
      </c>
      <c r="CE214" s="29">
        <v>0</v>
      </c>
      <c r="CF214" s="29">
        <v>0</v>
      </c>
      <c r="CG214" s="29">
        <v>0</v>
      </c>
      <c r="CH214" s="29">
        <v>0</v>
      </c>
      <c r="CI214" s="29">
        <v>0</v>
      </c>
      <c r="CJ214" s="29">
        <v>0</v>
      </c>
      <c r="CK214" s="29">
        <v>0</v>
      </c>
      <c r="CL214" s="29">
        <v>0</v>
      </c>
      <c r="CM214" s="29">
        <v>0</v>
      </c>
      <c r="CN214" s="29">
        <v>0</v>
      </c>
      <c r="CO214" s="29">
        <v>0</v>
      </c>
      <c r="CP214" s="29">
        <v>0</v>
      </c>
      <c r="CQ214" s="29">
        <v>0</v>
      </c>
      <c r="CR214" s="29">
        <v>0</v>
      </c>
      <c r="CS214" s="29">
        <v>0</v>
      </c>
      <c r="CT214" s="29">
        <v>0</v>
      </c>
      <c r="CU214" s="361">
        <v>0</v>
      </c>
      <c r="CV214" s="189"/>
    </row>
    <row r="215" spans="1:100" ht="38.25" x14ac:dyDescent="0.2">
      <c r="A215" s="4" t="s">
        <v>1025</v>
      </c>
      <c r="B215" s="371" t="s">
        <v>1103</v>
      </c>
      <c r="C215" s="84">
        <f>SUM(D215:DX215)</f>
        <v>77032.940564609598</v>
      </c>
      <c r="D215" s="29">
        <v>32592.636424953773</v>
      </c>
      <c r="E215" s="29">
        <v>0</v>
      </c>
      <c r="F215" s="29">
        <v>0</v>
      </c>
      <c r="G215" s="29">
        <v>4498</v>
      </c>
      <c r="H215" s="29">
        <v>0</v>
      </c>
      <c r="I215" s="29">
        <v>0</v>
      </c>
      <c r="J215" s="29">
        <v>0</v>
      </c>
      <c r="K215" s="29">
        <v>0</v>
      </c>
      <c r="L215" s="29">
        <v>0</v>
      </c>
      <c r="M215" s="29">
        <v>0</v>
      </c>
      <c r="N215" s="29">
        <v>0</v>
      </c>
      <c r="O215" s="29">
        <v>0</v>
      </c>
      <c r="P215" s="29">
        <v>0</v>
      </c>
      <c r="Q215" s="29">
        <v>0</v>
      </c>
      <c r="R215" s="29">
        <v>0</v>
      </c>
      <c r="S215" s="29">
        <v>0</v>
      </c>
      <c r="T215" s="29">
        <v>0</v>
      </c>
      <c r="U215" s="29">
        <v>0</v>
      </c>
      <c r="V215" s="29">
        <v>0</v>
      </c>
      <c r="W215" s="29">
        <v>0</v>
      </c>
      <c r="X215" s="29">
        <v>0</v>
      </c>
      <c r="Y215" s="29">
        <v>0</v>
      </c>
      <c r="Z215" s="29">
        <v>0</v>
      </c>
      <c r="AA215" s="29">
        <v>0</v>
      </c>
      <c r="AB215" s="29">
        <v>0</v>
      </c>
      <c r="AC215" s="29">
        <v>0</v>
      </c>
      <c r="AD215" s="29">
        <v>0</v>
      </c>
      <c r="AE215" s="29">
        <v>0</v>
      </c>
      <c r="AF215" s="29">
        <v>0</v>
      </c>
      <c r="AG215" s="29">
        <v>0</v>
      </c>
      <c r="AH215" s="29">
        <v>0</v>
      </c>
      <c r="AI215" s="29">
        <v>0</v>
      </c>
      <c r="AJ215" s="29">
        <v>0</v>
      </c>
      <c r="AK215" s="29">
        <v>0</v>
      </c>
      <c r="AL215" s="29">
        <v>0</v>
      </c>
      <c r="AM215" s="29">
        <v>0</v>
      </c>
      <c r="AN215" s="29">
        <v>0</v>
      </c>
      <c r="AO215" s="29">
        <v>0</v>
      </c>
      <c r="AP215" s="29">
        <v>0</v>
      </c>
      <c r="AQ215" s="29">
        <v>0</v>
      </c>
      <c r="AR215" s="29">
        <v>0</v>
      </c>
      <c r="AS215" s="29">
        <v>0</v>
      </c>
      <c r="AT215" s="29">
        <v>0</v>
      </c>
      <c r="AU215" s="29">
        <v>0</v>
      </c>
      <c r="AV215" s="29">
        <v>0</v>
      </c>
      <c r="AW215" s="29">
        <v>6423</v>
      </c>
      <c r="AX215" s="29">
        <v>0</v>
      </c>
      <c r="AY215" s="29">
        <v>0</v>
      </c>
      <c r="AZ215" s="29">
        <v>0</v>
      </c>
      <c r="BA215" s="29">
        <v>11098.304139655827</v>
      </c>
      <c r="BB215" s="29">
        <v>22421</v>
      </c>
      <c r="BC215" s="29">
        <v>0</v>
      </c>
      <c r="BD215" s="180">
        <v>0</v>
      </c>
      <c r="BE215" s="29">
        <v>0</v>
      </c>
      <c r="BF215" s="29">
        <v>0</v>
      </c>
      <c r="BG215" s="29">
        <v>0</v>
      </c>
      <c r="BH215" s="29">
        <v>0</v>
      </c>
      <c r="BI215" s="29">
        <v>0</v>
      </c>
      <c r="BJ215" s="29">
        <v>0</v>
      </c>
      <c r="BK215" s="29">
        <v>0</v>
      </c>
      <c r="BL215" s="29">
        <v>0</v>
      </c>
      <c r="BM215" s="29">
        <v>0</v>
      </c>
      <c r="BN215" s="29">
        <v>0</v>
      </c>
      <c r="BO215" s="29">
        <v>0</v>
      </c>
      <c r="BP215" s="29">
        <v>0</v>
      </c>
      <c r="BQ215" s="29">
        <v>0</v>
      </c>
      <c r="BR215" s="29">
        <v>0</v>
      </c>
      <c r="BS215" s="29">
        <v>0</v>
      </c>
      <c r="BT215" s="29">
        <v>0</v>
      </c>
      <c r="BU215" s="29">
        <v>0</v>
      </c>
      <c r="BV215" s="29">
        <v>0</v>
      </c>
      <c r="BW215" s="29">
        <v>0</v>
      </c>
      <c r="BX215" s="29">
        <v>0</v>
      </c>
      <c r="BY215" s="29">
        <v>0</v>
      </c>
      <c r="BZ215" s="29">
        <v>0</v>
      </c>
      <c r="CA215" s="29">
        <v>0</v>
      </c>
      <c r="CB215" s="29">
        <v>0</v>
      </c>
      <c r="CC215" s="29">
        <v>0</v>
      </c>
      <c r="CD215" s="29">
        <v>0</v>
      </c>
      <c r="CE215" s="29">
        <v>0</v>
      </c>
      <c r="CF215" s="29">
        <v>0</v>
      </c>
      <c r="CG215" s="29">
        <v>0</v>
      </c>
      <c r="CH215" s="29">
        <v>0</v>
      </c>
      <c r="CI215" s="29">
        <v>0</v>
      </c>
      <c r="CJ215" s="29">
        <v>0</v>
      </c>
      <c r="CK215" s="29">
        <v>0</v>
      </c>
      <c r="CL215" s="29">
        <v>0</v>
      </c>
      <c r="CM215" s="29">
        <v>0</v>
      </c>
      <c r="CN215" s="29">
        <v>0</v>
      </c>
      <c r="CO215" s="29">
        <v>0</v>
      </c>
      <c r="CP215" s="29">
        <v>0</v>
      </c>
      <c r="CQ215" s="29">
        <v>0</v>
      </c>
      <c r="CR215" s="29">
        <v>0</v>
      </c>
      <c r="CS215" s="29">
        <v>0</v>
      </c>
      <c r="CT215" s="29">
        <v>0</v>
      </c>
      <c r="CU215" s="361">
        <v>0</v>
      </c>
      <c r="CV215" s="189"/>
    </row>
    <row r="216" spans="1:100" ht="38.25" x14ac:dyDescent="0.2">
      <c r="A216" s="4" t="s">
        <v>1025</v>
      </c>
      <c r="B216" s="371" t="s">
        <v>1104</v>
      </c>
      <c r="C216" s="84">
        <f>SUM(D216:DX216)</f>
        <v>1054133.2309162295</v>
      </c>
      <c r="D216" s="29">
        <v>129678.44341342778</v>
      </c>
      <c r="E216" s="29">
        <v>0</v>
      </c>
      <c r="F216" s="29">
        <v>0</v>
      </c>
      <c r="G216" s="29">
        <v>644050</v>
      </c>
      <c r="H216" s="29">
        <v>0</v>
      </c>
      <c r="I216" s="29">
        <v>0</v>
      </c>
      <c r="J216" s="29">
        <v>0</v>
      </c>
      <c r="K216" s="29">
        <v>0</v>
      </c>
      <c r="L216" s="29">
        <v>0</v>
      </c>
      <c r="M216" s="29">
        <v>0</v>
      </c>
      <c r="N216" s="29">
        <v>0</v>
      </c>
      <c r="O216" s="29">
        <v>0</v>
      </c>
      <c r="P216" s="29">
        <v>0</v>
      </c>
      <c r="Q216" s="29">
        <v>0</v>
      </c>
      <c r="R216" s="29">
        <v>0</v>
      </c>
      <c r="S216" s="29">
        <v>0</v>
      </c>
      <c r="T216" s="29">
        <v>0</v>
      </c>
      <c r="U216" s="29">
        <v>0</v>
      </c>
      <c r="V216" s="29">
        <v>0</v>
      </c>
      <c r="W216" s="29">
        <v>0</v>
      </c>
      <c r="X216" s="29">
        <v>0</v>
      </c>
      <c r="Y216" s="29">
        <v>0</v>
      </c>
      <c r="Z216" s="29">
        <v>0</v>
      </c>
      <c r="AA216" s="29">
        <v>0</v>
      </c>
      <c r="AB216" s="29">
        <v>0</v>
      </c>
      <c r="AC216" s="29">
        <v>0</v>
      </c>
      <c r="AD216" s="29">
        <v>0</v>
      </c>
      <c r="AE216" s="29">
        <v>0</v>
      </c>
      <c r="AF216" s="29">
        <v>0</v>
      </c>
      <c r="AG216" s="29">
        <v>0</v>
      </c>
      <c r="AH216" s="29">
        <v>0</v>
      </c>
      <c r="AI216" s="29">
        <v>0</v>
      </c>
      <c r="AJ216" s="29">
        <v>0</v>
      </c>
      <c r="AK216" s="29">
        <v>0</v>
      </c>
      <c r="AL216" s="29">
        <v>0</v>
      </c>
      <c r="AM216" s="29">
        <v>0</v>
      </c>
      <c r="AN216" s="29">
        <v>0</v>
      </c>
      <c r="AO216" s="29">
        <v>0</v>
      </c>
      <c r="AP216" s="29">
        <v>0</v>
      </c>
      <c r="AQ216" s="29">
        <v>0</v>
      </c>
      <c r="AR216" s="29">
        <v>0</v>
      </c>
      <c r="AS216" s="29">
        <v>0</v>
      </c>
      <c r="AT216" s="29">
        <v>0</v>
      </c>
      <c r="AU216" s="29">
        <v>0</v>
      </c>
      <c r="AV216" s="29">
        <v>0</v>
      </c>
      <c r="AW216" s="29">
        <v>159690</v>
      </c>
      <c r="AX216" s="29">
        <v>0</v>
      </c>
      <c r="AY216" s="29">
        <v>0</v>
      </c>
      <c r="AZ216" s="29">
        <v>28747.787502801832</v>
      </c>
      <c r="BA216" s="29">
        <v>0</v>
      </c>
      <c r="BB216" s="29">
        <v>91967</v>
      </c>
      <c r="BC216" s="29">
        <v>0</v>
      </c>
      <c r="BD216" s="180">
        <v>0</v>
      </c>
      <c r="BE216" s="29">
        <v>0</v>
      </c>
      <c r="BF216" s="29">
        <v>0</v>
      </c>
      <c r="BG216" s="29">
        <v>0</v>
      </c>
      <c r="BH216" s="29">
        <v>0</v>
      </c>
      <c r="BI216" s="29">
        <v>0</v>
      </c>
      <c r="BJ216" s="29">
        <v>0</v>
      </c>
      <c r="BK216" s="29">
        <v>0</v>
      </c>
      <c r="BL216" s="29">
        <v>0</v>
      </c>
      <c r="BM216" s="29">
        <v>0</v>
      </c>
      <c r="BN216" s="29">
        <v>0</v>
      </c>
      <c r="BO216" s="29">
        <v>0</v>
      </c>
      <c r="BP216" s="29">
        <v>0</v>
      </c>
      <c r="BQ216" s="29">
        <v>0</v>
      </c>
      <c r="BR216" s="29">
        <v>0</v>
      </c>
      <c r="BS216" s="29">
        <v>0</v>
      </c>
      <c r="BT216" s="29">
        <v>0</v>
      </c>
      <c r="BU216" s="29">
        <v>0</v>
      </c>
      <c r="BV216" s="29">
        <v>0</v>
      </c>
      <c r="BW216" s="29">
        <v>0</v>
      </c>
      <c r="BX216" s="29">
        <v>0</v>
      </c>
      <c r="BY216" s="29">
        <v>0</v>
      </c>
      <c r="BZ216" s="29">
        <v>0</v>
      </c>
      <c r="CA216" s="29">
        <v>0</v>
      </c>
      <c r="CB216" s="29">
        <v>0</v>
      </c>
      <c r="CC216" s="29">
        <v>0</v>
      </c>
      <c r="CD216" s="29">
        <v>0</v>
      </c>
      <c r="CE216" s="29">
        <v>0</v>
      </c>
      <c r="CF216" s="29">
        <v>0</v>
      </c>
      <c r="CG216" s="29">
        <v>0</v>
      </c>
      <c r="CH216" s="29">
        <v>0</v>
      </c>
      <c r="CI216" s="29">
        <v>0</v>
      </c>
      <c r="CJ216" s="29">
        <v>0</v>
      </c>
      <c r="CK216" s="29">
        <v>0</v>
      </c>
      <c r="CL216" s="29">
        <v>0</v>
      </c>
      <c r="CM216" s="29">
        <v>0</v>
      </c>
      <c r="CN216" s="29">
        <v>0</v>
      </c>
      <c r="CO216" s="29">
        <v>0</v>
      </c>
      <c r="CP216" s="29">
        <v>0</v>
      </c>
      <c r="CQ216" s="29">
        <v>0</v>
      </c>
      <c r="CR216" s="29">
        <v>0</v>
      </c>
      <c r="CS216" s="29">
        <v>0</v>
      </c>
      <c r="CT216" s="29">
        <v>0</v>
      </c>
      <c r="CU216" s="361">
        <v>0</v>
      </c>
      <c r="CV216" s="189"/>
    </row>
    <row r="217" spans="1:100" ht="38.25" x14ac:dyDescent="0.2">
      <c r="A217" s="4" t="s">
        <v>1025</v>
      </c>
      <c r="B217" s="366" t="s">
        <v>1105</v>
      </c>
      <c r="C217" s="191"/>
      <c r="D217" s="191"/>
      <c r="E217" s="191"/>
      <c r="F217" s="191"/>
      <c r="G217" s="191"/>
      <c r="H217" s="191"/>
      <c r="I217" s="191"/>
      <c r="J217" s="191"/>
      <c r="K217" s="191"/>
      <c r="L217" s="191"/>
      <c r="M217" s="191"/>
      <c r="N217" s="191"/>
      <c r="O217" s="191"/>
      <c r="P217" s="191"/>
      <c r="Q217" s="191"/>
      <c r="R217" s="191"/>
      <c r="S217" s="191"/>
      <c r="T217" s="191"/>
      <c r="U217" s="191"/>
      <c r="V217" s="191"/>
      <c r="W217" s="191"/>
      <c r="X217" s="191"/>
      <c r="Y217" s="191"/>
      <c r="Z217" s="191"/>
      <c r="AA217" s="191"/>
      <c r="AB217" s="191"/>
      <c r="AC217" s="191"/>
      <c r="AD217" s="191"/>
      <c r="AE217" s="191"/>
      <c r="AF217" s="191"/>
      <c r="AG217" s="191"/>
      <c r="AH217" s="191"/>
      <c r="AI217" s="191"/>
      <c r="AJ217" s="191"/>
      <c r="AK217" s="191"/>
      <c r="AL217" s="191"/>
      <c r="AM217" s="191"/>
      <c r="AN217" s="191"/>
      <c r="AO217" s="191"/>
      <c r="AP217" s="191"/>
      <c r="AQ217" s="191"/>
      <c r="AR217" s="191"/>
      <c r="AS217" s="191"/>
      <c r="AT217" s="191"/>
      <c r="AU217" s="191"/>
      <c r="AV217" s="191"/>
      <c r="AW217" s="191"/>
      <c r="AX217" s="191"/>
      <c r="AY217" s="191"/>
      <c r="AZ217" s="191"/>
      <c r="BA217" s="191"/>
      <c r="BB217" s="191"/>
      <c r="BC217" s="191"/>
      <c r="BD217" s="192"/>
      <c r="BE217" s="191"/>
      <c r="BF217" s="191"/>
      <c r="BG217" s="191"/>
      <c r="BH217" s="191"/>
      <c r="BI217" s="191"/>
      <c r="BJ217" s="191"/>
      <c r="BK217" s="191"/>
      <c r="BL217" s="191"/>
      <c r="BM217" s="191"/>
      <c r="BN217" s="191"/>
      <c r="BO217" s="191"/>
      <c r="BP217" s="191"/>
      <c r="BQ217" s="191"/>
      <c r="BR217" s="191"/>
      <c r="BS217" s="191"/>
      <c r="BT217" s="191"/>
      <c r="BU217" s="191"/>
      <c r="BV217" s="191"/>
      <c r="BW217" s="191"/>
      <c r="BX217" s="191"/>
      <c r="BY217" s="191"/>
      <c r="BZ217" s="191"/>
      <c r="CA217" s="191"/>
      <c r="CB217" s="191"/>
      <c r="CC217" s="191"/>
      <c r="CD217" s="191"/>
      <c r="CE217" s="191"/>
      <c r="CF217" s="191"/>
      <c r="CG217" s="191"/>
      <c r="CH217" s="191"/>
      <c r="CI217" s="191"/>
      <c r="CJ217" s="191"/>
      <c r="CK217" s="191"/>
      <c r="CL217" s="191"/>
      <c r="CM217" s="191"/>
      <c r="CN217" s="191"/>
      <c r="CO217" s="191"/>
      <c r="CP217" s="191"/>
      <c r="CQ217" s="191"/>
      <c r="CR217" s="191"/>
      <c r="CS217" s="191"/>
      <c r="CT217" s="191"/>
      <c r="CU217" s="367"/>
      <c r="CV217" s="189"/>
    </row>
    <row r="218" spans="1:100" ht="38.25" x14ac:dyDescent="0.2">
      <c r="A218" s="4" t="s">
        <v>1025</v>
      </c>
      <c r="B218" s="371" t="s">
        <v>1106</v>
      </c>
      <c r="C218" s="84">
        <f>SUM(D218:DX218)</f>
        <v>748958.13663092186</v>
      </c>
      <c r="D218" s="29">
        <v>153323.37254342681</v>
      </c>
      <c r="E218" s="29">
        <v>0</v>
      </c>
      <c r="F218" s="29">
        <v>0</v>
      </c>
      <c r="G218" s="29">
        <v>110249</v>
      </c>
      <c r="H218" s="29">
        <v>0</v>
      </c>
      <c r="I218" s="29">
        <v>0</v>
      </c>
      <c r="J218" s="29">
        <v>0</v>
      </c>
      <c r="K218" s="29">
        <v>0</v>
      </c>
      <c r="L218" s="29">
        <v>0</v>
      </c>
      <c r="M218" s="29">
        <v>0</v>
      </c>
      <c r="N218" s="29">
        <v>0</v>
      </c>
      <c r="O218" s="29">
        <v>0</v>
      </c>
      <c r="P218" s="29">
        <v>0</v>
      </c>
      <c r="Q218" s="29">
        <v>0</v>
      </c>
      <c r="R218" s="29">
        <v>0</v>
      </c>
      <c r="S218" s="29">
        <v>0</v>
      </c>
      <c r="T218" s="29">
        <v>0</v>
      </c>
      <c r="U218" s="29">
        <v>0</v>
      </c>
      <c r="V218" s="29">
        <v>0</v>
      </c>
      <c r="W218" s="29">
        <v>0</v>
      </c>
      <c r="X218" s="29">
        <v>0</v>
      </c>
      <c r="Y218" s="29">
        <v>0</v>
      </c>
      <c r="Z218" s="29">
        <v>0</v>
      </c>
      <c r="AA218" s="29">
        <v>0</v>
      </c>
      <c r="AB218" s="29">
        <v>0</v>
      </c>
      <c r="AC218" s="29">
        <v>0</v>
      </c>
      <c r="AD218" s="29">
        <v>0</v>
      </c>
      <c r="AE218" s="29">
        <v>0</v>
      </c>
      <c r="AF218" s="29">
        <v>0</v>
      </c>
      <c r="AG218" s="29">
        <v>0</v>
      </c>
      <c r="AH218" s="29">
        <v>0</v>
      </c>
      <c r="AI218" s="29">
        <v>0</v>
      </c>
      <c r="AJ218" s="29">
        <v>0</v>
      </c>
      <c r="AK218" s="29">
        <v>0</v>
      </c>
      <c r="AL218" s="29">
        <v>0</v>
      </c>
      <c r="AM218" s="29">
        <v>0</v>
      </c>
      <c r="AN218" s="29">
        <v>0</v>
      </c>
      <c r="AO218" s="29">
        <v>0</v>
      </c>
      <c r="AP218" s="29">
        <v>0</v>
      </c>
      <c r="AQ218" s="29">
        <v>0</v>
      </c>
      <c r="AR218" s="29">
        <v>0</v>
      </c>
      <c r="AS218" s="29">
        <v>0</v>
      </c>
      <c r="AT218" s="29">
        <v>0</v>
      </c>
      <c r="AU218" s="29">
        <v>0</v>
      </c>
      <c r="AV218" s="29">
        <v>0</v>
      </c>
      <c r="AW218" s="29">
        <v>17273</v>
      </c>
      <c r="AX218" s="29">
        <v>0</v>
      </c>
      <c r="AY218" s="29">
        <v>0</v>
      </c>
      <c r="AZ218" s="29">
        <v>1807.2649916404032</v>
      </c>
      <c r="BA218" s="29">
        <v>444965.49909585464</v>
      </c>
      <c r="BB218" s="29">
        <v>21340</v>
      </c>
      <c r="BC218" s="29">
        <v>0</v>
      </c>
      <c r="BD218" s="180">
        <v>0</v>
      </c>
      <c r="BE218" s="29">
        <v>0</v>
      </c>
      <c r="BF218" s="29">
        <v>0</v>
      </c>
      <c r="BG218" s="29">
        <v>0</v>
      </c>
      <c r="BH218" s="29">
        <v>0</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361">
        <v>0</v>
      </c>
      <c r="CV218" s="189"/>
    </row>
    <row r="219" spans="1:100" ht="38.25" x14ac:dyDescent="0.2">
      <c r="A219" s="4" t="s">
        <v>1025</v>
      </c>
      <c r="B219" s="371" t="s">
        <v>1107</v>
      </c>
      <c r="C219" s="84">
        <f>SUM(D219:DX219)</f>
        <v>1245422.6915380899</v>
      </c>
      <c r="D219" s="29">
        <v>104620.16956877369</v>
      </c>
      <c r="E219" s="29">
        <v>0</v>
      </c>
      <c r="F219" s="29">
        <v>0</v>
      </c>
      <c r="G219" s="29">
        <v>675749</v>
      </c>
      <c r="H219" s="29">
        <v>0</v>
      </c>
      <c r="I219" s="29">
        <v>0</v>
      </c>
      <c r="J219" s="29">
        <v>0</v>
      </c>
      <c r="K219" s="29">
        <v>0</v>
      </c>
      <c r="L219" s="29">
        <v>0</v>
      </c>
      <c r="M219" s="29">
        <v>0</v>
      </c>
      <c r="N219" s="29">
        <v>0</v>
      </c>
      <c r="O219" s="29">
        <v>0</v>
      </c>
      <c r="P219" s="29">
        <v>0</v>
      </c>
      <c r="Q219" s="29">
        <v>0</v>
      </c>
      <c r="R219" s="29">
        <v>0</v>
      </c>
      <c r="S219" s="29">
        <v>0</v>
      </c>
      <c r="T219" s="29">
        <v>0</v>
      </c>
      <c r="U219" s="29">
        <v>0</v>
      </c>
      <c r="V219" s="29">
        <v>0</v>
      </c>
      <c r="W219" s="29">
        <v>0</v>
      </c>
      <c r="X219" s="29">
        <v>0</v>
      </c>
      <c r="Y219" s="29">
        <v>0</v>
      </c>
      <c r="Z219" s="29">
        <v>0</v>
      </c>
      <c r="AA219" s="29">
        <v>0</v>
      </c>
      <c r="AB219" s="29">
        <v>0</v>
      </c>
      <c r="AC219" s="29">
        <v>0</v>
      </c>
      <c r="AD219" s="29">
        <v>0</v>
      </c>
      <c r="AE219" s="29">
        <v>0</v>
      </c>
      <c r="AF219" s="29">
        <v>0</v>
      </c>
      <c r="AG219" s="29">
        <v>0</v>
      </c>
      <c r="AH219" s="29">
        <v>0</v>
      </c>
      <c r="AI219" s="29">
        <v>0</v>
      </c>
      <c r="AJ219" s="29">
        <v>0</v>
      </c>
      <c r="AK219" s="29">
        <v>0</v>
      </c>
      <c r="AL219" s="29">
        <v>0</v>
      </c>
      <c r="AM219" s="29">
        <v>0</v>
      </c>
      <c r="AN219" s="29">
        <v>0</v>
      </c>
      <c r="AO219" s="29">
        <v>0</v>
      </c>
      <c r="AP219" s="29">
        <v>0</v>
      </c>
      <c r="AQ219" s="29">
        <v>0</v>
      </c>
      <c r="AR219" s="29">
        <v>0</v>
      </c>
      <c r="AS219" s="29">
        <v>0</v>
      </c>
      <c r="AT219" s="29">
        <v>0</v>
      </c>
      <c r="AU219" s="29">
        <v>0</v>
      </c>
      <c r="AV219" s="29">
        <v>0</v>
      </c>
      <c r="AW219" s="29">
        <v>187452</v>
      </c>
      <c r="AX219" s="29">
        <v>0</v>
      </c>
      <c r="AY219" s="29">
        <v>0</v>
      </c>
      <c r="AZ219" s="29">
        <v>253759.49566541609</v>
      </c>
      <c r="BA219" s="29">
        <v>13812.02630390014</v>
      </c>
      <c r="BB219" s="29">
        <v>10030</v>
      </c>
      <c r="BC219" s="29">
        <v>0</v>
      </c>
      <c r="BD219" s="180">
        <v>0</v>
      </c>
      <c r="BE219" s="29">
        <v>0</v>
      </c>
      <c r="BF219" s="29">
        <v>0</v>
      </c>
      <c r="BG219" s="29">
        <v>0</v>
      </c>
      <c r="BH219" s="29">
        <v>0</v>
      </c>
      <c r="BI219" s="29">
        <v>0</v>
      </c>
      <c r="BJ219" s="29">
        <v>0</v>
      </c>
      <c r="BK219" s="29">
        <v>0</v>
      </c>
      <c r="BL219" s="29">
        <v>0</v>
      </c>
      <c r="BM219" s="29">
        <v>0</v>
      </c>
      <c r="BN219" s="29">
        <v>0</v>
      </c>
      <c r="BO219" s="29">
        <v>0</v>
      </c>
      <c r="BP219" s="29">
        <v>0</v>
      </c>
      <c r="BQ219" s="29">
        <v>0</v>
      </c>
      <c r="BR219" s="29">
        <v>0</v>
      </c>
      <c r="BS219" s="29">
        <v>0</v>
      </c>
      <c r="BT219" s="29">
        <v>0</v>
      </c>
      <c r="BU219" s="29">
        <v>0</v>
      </c>
      <c r="BV219" s="29">
        <v>0</v>
      </c>
      <c r="BW219" s="29">
        <v>0</v>
      </c>
      <c r="BX219" s="29">
        <v>0</v>
      </c>
      <c r="BY219" s="29">
        <v>0</v>
      </c>
      <c r="BZ219" s="29">
        <v>0</v>
      </c>
      <c r="CA219" s="29">
        <v>0</v>
      </c>
      <c r="CB219" s="29">
        <v>0</v>
      </c>
      <c r="CC219" s="29">
        <v>0</v>
      </c>
      <c r="CD219" s="29">
        <v>0</v>
      </c>
      <c r="CE219" s="29">
        <v>0</v>
      </c>
      <c r="CF219" s="29">
        <v>0</v>
      </c>
      <c r="CG219" s="29">
        <v>0</v>
      </c>
      <c r="CH219" s="29">
        <v>0</v>
      </c>
      <c r="CI219" s="29">
        <v>0</v>
      </c>
      <c r="CJ219" s="29">
        <v>0</v>
      </c>
      <c r="CK219" s="29">
        <v>0</v>
      </c>
      <c r="CL219" s="29">
        <v>0</v>
      </c>
      <c r="CM219" s="29">
        <v>0</v>
      </c>
      <c r="CN219" s="29">
        <v>0</v>
      </c>
      <c r="CO219" s="29">
        <v>0</v>
      </c>
      <c r="CP219" s="29">
        <v>0</v>
      </c>
      <c r="CQ219" s="29">
        <v>0</v>
      </c>
      <c r="CR219" s="29">
        <v>0</v>
      </c>
      <c r="CS219" s="29">
        <v>0</v>
      </c>
      <c r="CT219" s="29">
        <v>0</v>
      </c>
      <c r="CU219" s="361">
        <v>0</v>
      </c>
      <c r="CV219" s="189"/>
    </row>
    <row r="220" spans="1:100" ht="44.25" customHeight="1" x14ac:dyDescent="0.2">
      <c r="A220" s="4" t="s">
        <v>1025</v>
      </c>
      <c r="B220" s="371" t="s">
        <v>1108</v>
      </c>
      <c r="C220" s="84">
        <f>SUM(D220:DX220)</f>
        <v>553817.08914028003</v>
      </c>
      <c r="D220" s="29">
        <v>104924.62952128287</v>
      </c>
      <c r="E220" s="29">
        <v>0</v>
      </c>
      <c r="F220" s="29">
        <v>0</v>
      </c>
      <c r="G220" s="29">
        <v>402574</v>
      </c>
      <c r="H220" s="29">
        <v>0</v>
      </c>
      <c r="I220" s="29">
        <v>0</v>
      </c>
      <c r="J220" s="29">
        <v>0</v>
      </c>
      <c r="K220" s="29">
        <v>0</v>
      </c>
      <c r="L220" s="29">
        <v>0</v>
      </c>
      <c r="M220" s="29">
        <v>0</v>
      </c>
      <c r="N220" s="29">
        <v>0</v>
      </c>
      <c r="O220" s="29">
        <v>0</v>
      </c>
      <c r="P220" s="29">
        <v>0</v>
      </c>
      <c r="Q220" s="29">
        <v>0</v>
      </c>
      <c r="R220" s="29">
        <v>0</v>
      </c>
      <c r="S220" s="29">
        <v>0</v>
      </c>
      <c r="T220" s="29">
        <v>0</v>
      </c>
      <c r="U220" s="29">
        <v>0</v>
      </c>
      <c r="V220" s="29">
        <v>0</v>
      </c>
      <c r="W220" s="29">
        <v>0</v>
      </c>
      <c r="X220" s="29">
        <v>0</v>
      </c>
      <c r="Y220" s="29">
        <v>0</v>
      </c>
      <c r="Z220" s="29">
        <v>0</v>
      </c>
      <c r="AA220" s="29">
        <v>0</v>
      </c>
      <c r="AB220" s="29">
        <v>0</v>
      </c>
      <c r="AC220" s="29">
        <v>0</v>
      </c>
      <c r="AD220" s="29">
        <v>0</v>
      </c>
      <c r="AE220" s="29">
        <v>0</v>
      </c>
      <c r="AF220" s="29">
        <v>0</v>
      </c>
      <c r="AG220" s="29">
        <v>0</v>
      </c>
      <c r="AH220" s="29">
        <v>0</v>
      </c>
      <c r="AI220" s="29">
        <v>0</v>
      </c>
      <c r="AJ220" s="29">
        <v>0</v>
      </c>
      <c r="AK220" s="29">
        <v>0</v>
      </c>
      <c r="AL220" s="29">
        <v>0</v>
      </c>
      <c r="AM220" s="29">
        <v>0</v>
      </c>
      <c r="AN220" s="29">
        <v>0</v>
      </c>
      <c r="AO220" s="29">
        <v>0</v>
      </c>
      <c r="AP220" s="29">
        <v>0</v>
      </c>
      <c r="AQ220" s="29">
        <v>0</v>
      </c>
      <c r="AR220" s="29">
        <v>0</v>
      </c>
      <c r="AS220" s="29">
        <v>0</v>
      </c>
      <c r="AT220" s="29">
        <v>0</v>
      </c>
      <c r="AU220" s="29">
        <v>0</v>
      </c>
      <c r="AV220" s="29">
        <v>0</v>
      </c>
      <c r="AW220" s="29">
        <v>19159</v>
      </c>
      <c r="AX220" s="29">
        <v>0</v>
      </c>
      <c r="AY220" s="29">
        <v>0</v>
      </c>
      <c r="AZ220" s="29">
        <v>24598.459618997145</v>
      </c>
      <c r="BA220" s="29">
        <v>0</v>
      </c>
      <c r="BB220" s="29">
        <v>2561</v>
      </c>
      <c r="BC220" s="29">
        <v>0</v>
      </c>
      <c r="BD220" s="180">
        <v>0</v>
      </c>
      <c r="BE220" s="29">
        <v>0</v>
      </c>
      <c r="BF220" s="29">
        <v>0</v>
      </c>
      <c r="BG220" s="29">
        <v>0</v>
      </c>
      <c r="BH220" s="29">
        <v>0</v>
      </c>
      <c r="BI220" s="29">
        <v>0</v>
      </c>
      <c r="BJ220" s="29">
        <v>0</v>
      </c>
      <c r="BK220" s="29">
        <v>0</v>
      </c>
      <c r="BL220" s="29">
        <v>0</v>
      </c>
      <c r="BM220" s="29">
        <v>0</v>
      </c>
      <c r="BN220" s="29">
        <v>0</v>
      </c>
      <c r="BO220" s="29">
        <v>0</v>
      </c>
      <c r="BP220" s="29">
        <v>0</v>
      </c>
      <c r="BQ220" s="29">
        <v>0</v>
      </c>
      <c r="BR220" s="29">
        <v>0</v>
      </c>
      <c r="BS220" s="29">
        <v>0</v>
      </c>
      <c r="BT220" s="29">
        <v>0</v>
      </c>
      <c r="BU220" s="29">
        <v>0</v>
      </c>
      <c r="BV220" s="29">
        <v>0</v>
      </c>
      <c r="BW220" s="29">
        <v>0</v>
      </c>
      <c r="BX220" s="29">
        <v>0</v>
      </c>
      <c r="BY220" s="29">
        <v>0</v>
      </c>
      <c r="BZ220" s="29">
        <v>0</v>
      </c>
      <c r="CA220" s="29">
        <v>0</v>
      </c>
      <c r="CB220" s="29">
        <v>0</v>
      </c>
      <c r="CC220" s="29">
        <v>0</v>
      </c>
      <c r="CD220" s="29">
        <v>0</v>
      </c>
      <c r="CE220" s="29">
        <v>0</v>
      </c>
      <c r="CF220" s="29">
        <v>0</v>
      </c>
      <c r="CG220" s="29">
        <v>0</v>
      </c>
      <c r="CH220" s="29">
        <v>0</v>
      </c>
      <c r="CI220" s="29">
        <v>0</v>
      </c>
      <c r="CJ220" s="29">
        <v>0</v>
      </c>
      <c r="CK220" s="29">
        <v>0</v>
      </c>
      <c r="CL220" s="29">
        <v>0</v>
      </c>
      <c r="CM220" s="29">
        <v>0</v>
      </c>
      <c r="CN220" s="29">
        <v>0</v>
      </c>
      <c r="CO220" s="29">
        <v>0</v>
      </c>
      <c r="CP220" s="29">
        <v>0</v>
      </c>
      <c r="CQ220" s="29">
        <v>0</v>
      </c>
      <c r="CR220" s="29">
        <v>0</v>
      </c>
      <c r="CS220" s="29">
        <v>0</v>
      </c>
      <c r="CT220" s="29">
        <v>0</v>
      </c>
      <c r="CU220" s="361">
        <v>0</v>
      </c>
      <c r="CV220" s="189"/>
    </row>
    <row r="221" spans="1:100" ht="38.25" x14ac:dyDescent="0.2">
      <c r="A221" s="4" t="s">
        <v>1025</v>
      </c>
      <c r="B221" s="366" t="s">
        <v>1109</v>
      </c>
      <c r="C221" s="191"/>
      <c r="D221" s="191"/>
      <c r="E221" s="191"/>
      <c r="F221" s="191"/>
      <c r="G221" s="191"/>
      <c r="H221" s="191"/>
      <c r="I221" s="191"/>
      <c r="J221" s="191"/>
      <c r="K221" s="191"/>
      <c r="L221" s="191"/>
      <c r="M221" s="191"/>
      <c r="N221" s="191"/>
      <c r="O221" s="191"/>
      <c r="P221" s="191"/>
      <c r="Q221" s="191"/>
      <c r="R221" s="191"/>
      <c r="S221" s="191"/>
      <c r="T221" s="191"/>
      <c r="U221" s="191"/>
      <c r="V221" s="191"/>
      <c r="W221" s="191"/>
      <c r="X221" s="191"/>
      <c r="Y221" s="191"/>
      <c r="Z221" s="191"/>
      <c r="AA221" s="191"/>
      <c r="AB221" s="191"/>
      <c r="AC221" s="191"/>
      <c r="AD221" s="191"/>
      <c r="AE221" s="191"/>
      <c r="AF221" s="191"/>
      <c r="AG221" s="191"/>
      <c r="AH221" s="191"/>
      <c r="AI221" s="191"/>
      <c r="AJ221" s="191"/>
      <c r="AK221" s="191"/>
      <c r="AL221" s="191"/>
      <c r="AM221" s="191"/>
      <c r="AN221" s="191"/>
      <c r="AO221" s="191"/>
      <c r="AP221" s="191"/>
      <c r="AQ221" s="191"/>
      <c r="AR221" s="191"/>
      <c r="AS221" s="191"/>
      <c r="AT221" s="191"/>
      <c r="AU221" s="191"/>
      <c r="AV221" s="191"/>
      <c r="AW221" s="191"/>
      <c r="AX221" s="191"/>
      <c r="AY221" s="191"/>
      <c r="AZ221" s="191"/>
      <c r="BA221" s="191"/>
      <c r="BB221" s="191"/>
      <c r="BC221" s="191"/>
      <c r="BD221" s="192"/>
      <c r="BE221" s="191"/>
      <c r="BF221" s="191"/>
      <c r="BG221" s="191"/>
      <c r="BH221" s="191"/>
      <c r="BI221" s="191"/>
      <c r="BJ221" s="191"/>
      <c r="BK221" s="191"/>
      <c r="BL221" s="191"/>
      <c r="BM221" s="191"/>
      <c r="BN221" s="191"/>
      <c r="BO221" s="191"/>
      <c r="BP221" s="191"/>
      <c r="BQ221" s="191"/>
      <c r="BR221" s="191"/>
      <c r="BS221" s="191"/>
      <c r="BT221" s="191"/>
      <c r="BU221" s="191"/>
      <c r="BV221" s="191"/>
      <c r="BW221" s="191"/>
      <c r="BX221" s="191"/>
      <c r="BY221" s="191"/>
      <c r="BZ221" s="191"/>
      <c r="CA221" s="191"/>
      <c r="CB221" s="191"/>
      <c r="CC221" s="191"/>
      <c r="CD221" s="191"/>
      <c r="CE221" s="191"/>
      <c r="CF221" s="191"/>
      <c r="CG221" s="191"/>
      <c r="CH221" s="191"/>
      <c r="CI221" s="191"/>
      <c r="CJ221" s="191"/>
      <c r="CK221" s="191"/>
      <c r="CL221" s="191"/>
      <c r="CM221" s="191"/>
      <c r="CN221" s="191"/>
      <c r="CO221" s="191"/>
      <c r="CP221" s="191"/>
      <c r="CQ221" s="191"/>
      <c r="CR221" s="191"/>
      <c r="CS221" s="191"/>
      <c r="CT221" s="191"/>
      <c r="CU221" s="367"/>
      <c r="CV221" s="189"/>
    </row>
    <row r="222" spans="1:100" ht="38.25" x14ac:dyDescent="0.2">
      <c r="A222" s="4" t="s">
        <v>1025</v>
      </c>
      <c r="B222" s="371" t="s">
        <v>1110</v>
      </c>
      <c r="C222" s="84">
        <f>SUM(D222:DX222)</f>
        <v>1409372.1808397863</v>
      </c>
      <c r="D222" s="29">
        <v>419819.54629751778</v>
      </c>
      <c r="E222" s="29">
        <v>0</v>
      </c>
      <c r="F222" s="29">
        <v>0</v>
      </c>
      <c r="G222" s="29">
        <v>527848</v>
      </c>
      <c r="H222" s="29">
        <v>0</v>
      </c>
      <c r="I222" s="29">
        <v>100000</v>
      </c>
      <c r="J222" s="29">
        <v>0</v>
      </c>
      <c r="K222" s="29">
        <v>0</v>
      </c>
      <c r="L222" s="29">
        <v>0</v>
      </c>
      <c r="M222" s="29">
        <v>0</v>
      </c>
      <c r="N222" s="29">
        <v>0</v>
      </c>
      <c r="O222" s="29">
        <v>0</v>
      </c>
      <c r="P222" s="29">
        <v>0</v>
      </c>
      <c r="Q222" s="29">
        <v>0</v>
      </c>
      <c r="R222" s="29">
        <v>0</v>
      </c>
      <c r="S222" s="29">
        <v>0</v>
      </c>
      <c r="T222" s="29">
        <v>0</v>
      </c>
      <c r="U222" s="29">
        <v>0</v>
      </c>
      <c r="V222" s="29">
        <v>0</v>
      </c>
      <c r="W222" s="29">
        <v>0</v>
      </c>
      <c r="X222" s="29">
        <v>0</v>
      </c>
      <c r="Y222" s="29">
        <v>0</v>
      </c>
      <c r="Z222" s="29">
        <v>0</v>
      </c>
      <c r="AA222" s="29">
        <v>0</v>
      </c>
      <c r="AB222" s="29">
        <v>0</v>
      </c>
      <c r="AC222" s="29">
        <v>0</v>
      </c>
      <c r="AD222" s="29">
        <v>0</v>
      </c>
      <c r="AE222" s="29">
        <v>0</v>
      </c>
      <c r="AF222" s="29">
        <v>0</v>
      </c>
      <c r="AG222" s="29">
        <v>0</v>
      </c>
      <c r="AH222" s="29">
        <v>0</v>
      </c>
      <c r="AI222" s="29">
        <v>0</v>
      </c>
      <c r="AJ222" s="29">
        <v>0</v>
      </c>
      <c r="AK222" s="29">
        <v>0</v>
      </c>
      <c r="AL222" s="29">
        <v>0</v>
      </c>
      <c r="AM222" s="29">
        <v>0</v>
      </c>
      <c r="AN222" s="29">
        <v>0</v>
      </c>
      <c r="AO222" s="29">
        <v>0</v>
      </c>
      <c r="AP222" s="29">
        <v>0</v>
      </c>
      <c r="AQ222" s="29">
        <v>0</v>
      </c>
      <c r="AR222" s="29">
        <v>0</v>
      </c>
      <c r="AS222" s="29">
        <v>0</v>
      </c>
      <c r="AT222" s="29">
        <v>0</v>
      </c>
      <c r="AU222" s="29">
        <v>0</v>
      </c>
      <c r="AV222" s="29">
        <v>0</v>
      </c>
      <c r="AW222" s="29">
        <v>70882</v>
      </c>
      <c r="AX222" s="29">
        <v>0</v>
      </c>
      <c r="AY222" s="29">
        <v>0</v>
      </c>
      <c r="AZ222" s="29">
        <v>285683.63454226847</v>
      </c>
      <c r="BA222" s="29">
        <v>0</v>
      </c>
      <c r="BB222" s="29">
        <v>5139</v>
      </c>
      <c r="BC222" s="29">
        <v>0</v>
      </c>
      <c r="BD222" s="180">
        <v>0</v>
      </c>
      <c r="BE222" s="29">
        <v>0</v>
      </c>
      <c r="BF222" s="29">
        <v>0</v>
      </c>
      <c r="BG222" s="29">
        <v>0</v>
      </c>
      <c r="BH222" s="29">
        <v>0</v>
      </c>
      <c r="BI222" s="29">
        <v>0</v>
      </c>
      <c r="BJ222" s="29">
        <v>0</v>
      </c>
      <c r="BK222" s="29">
        <v>0</v>
      </c>
      <c r="BL222" s="29">
        <v>0</v>
      </c>
      <c r="BM222" s="29">
        <v>0</v>
      </c>
      <c r="BN222" s="29">
        <v>0</v>
      </c>
      <c r="BO222" s="29">
        <v>0</v>
      </c>
      <c r="BP222" s="29">
        <v>0</v>
      </c>
      <c r="BQ222" s="29">
        <v>0</v>
      </c>
      <c r="BR222" s="29">
        <v>0</v>
      </c>
      <c r="BS222" s="29">
        <v>0</v>
      </c>
      <c r="BT222" s="29">
        <v>0</v>
      </c>
      <c r="BU222" s="29">
        <v>0</v>
      </c>
      <c r="BV222" s="29">
        <v>0</v>
      </c>
      <c r="BW222" s="29">
        <v>0</v>
      </c>
      <c r="BX222" s="29">
        <v>0</v>
      </c>
      <c r="BY222" s="29">
        <v>0</v>
      </c>
      <c r="BZ222" s="29">
        <v>0</v>
      </c>
      <c r="CA222" s="29">
        <v>0</v>
      </c>
      <c r="CB222" s="29">
        <v>0</v>
      </c>
      <c r="CC222" s="29">
        <v>0</v>
      </c>
      <c r="CD222" s="29">
        <v>0</v>
      </c>
      <c r="CE222" s="29">
        <v>0</v>
      </c>
      <c r="CF222" s="29">
        <v>0</v>
      </c>
      <c r="CG222" s="29">
        <v>0</v>
      </c>
      <c r="CH222" s="29">
        <v>0</v>
      </c>
      <c r="CI222" s="29">
        <v>0</v>
      </c>
      <c r="CJ222" s="29">
        <v>0</v>
      </c>
      <c r="CK222" s="29">
        <v>0</v>
      </c>
      <c r="CL222" s="29">
        <v>0</v>
      </c>
      <c r="CM222" s="29">
        <v>0</v>
      </c>
      <c r="CN222" s="29">
        <v>0</v>
      </c>
      <c r="CO222" s="29">
        <v>0</v>
      </c>
      <c r="CP222" s="29">
        <v>0</v>
      </c>
      <c r="CQ222" s="29">
        <v>0</v>
      </c>
      <c r="CR222" s="29">
        <v>0</v>
      </c>
      <c r="CS222" s="29">
        <v>0</v>
      </c>
      <c r="CT222" s="29">
        <v>0</v>
      </c>
      <c r="CU222" s="361">
        <v>0</v>
      </c>
      <c r="CV222" s="189"/>
    </row>
    <row r="223" spans="1:100" ht="38.25" x14ac:dyDescent="0.2">
      <c r="A223" s="4" t="s">
        <v>1025</v>
      </c>
      <c r="B223" s="371" t="s">
        <v>1111</v>
      </c>
      <c r="C223" s="84">
        <f>SUM(D223:DX223)</f>
        <v>505282.84546012111</v>
      </c>
      <c r="D223" s="29">
        <v>23084.034015604291</v>
      </c>
      <c r="E223" s="29">
        <v>0</v>
      </c>
      <c r="F223" s="29">
        <v>0</v>
      </c>
      <c r="G223" s="29">
        <v>215925</v>
      </c>
      <c r="H223" s="29">
        <v>0</v>
      </c>
      <c r="I223" s="29">
        <v>0</v>
      </c>
      <c r="J223" s="29">
        <v>0</v>
      </c>
      <c r="K223" s="29">
        <v>0</v>
      </c>
      <c r="L223" s="29">
        <v>0</v>
      </c>
      <c r="M223" s="29">
        <v>0</v>
      </c>
      <c r="N223" s="29">
        <v>0</v>
      </c>
      <c r="O223" s="29">
        <v>0</v>
      </c>
      <c r="P223" s="29">
        <v>0</v>
      </c>
      <c r="Q223" s="29">
        <v>0</v>
      </c>
      <c r="R223" s="29">
        <v>0</v>
      </c>
      <c r="S223" s="29">
        <v>0</v>
      </c>
      <c r="T223" s="29">
        <v>0</v>
      </c>
      <c r="U223" s="29">
        <v>0</v>
      </c>
      <c r="V223" s="29">
        <v>0</v>
      </c>
      <c r="W223" s="29">
        <v>0</v>
      </c>
      <c r="X223" s="29">
        <v>0</v>
      </c>
      <c r="Y223" s="29">
        <v>0</v>
      </c>
      <c r="Z223" s="29">
        <v>0</v>
      </c>
      <c r="AA223" s="29">
        <v>0</v>
      </c>
      <c r="AB223" s="29">
        <v>0</v>
      </c>
      <c r="AC223" s="29">
        <v>0</v>
      </c>
      <c r="AD223" s="29">
        <v>0</v>
      </c>
      <c r="AE223" s="29">
        <v>0</v>
      </c>
      <c r="AF223" s="29">
        <v>0</v>
      </c>
      <c r="AG223" s="29">
        <v>0</v>
      </c>
      <c r="AH223" s="29">
        <v>0</v>
      </c>
      <c r="AI223" s="29">
        <v>0</v>
      </c>
      <c r="AJ223" s="29">
        <v>0</v>
      </c>
      <c r="AK223" s="29">
        <v>0</v>
      </c>
      <c r="AL223" s="29">
        <v>0</v>
      </c>
      <c r="AM223" s="29">
        <v>0</v>
      </c>
      <c r="AN223" s="29">
        <v>0</v>
      </c>
      <c r="AO223" s="29">
        <v>0</v>
      </c>
      <c r="AP223" s="29">
        <v>0</v>
      </c>
      <c r="AQ223" s="29">
        <v>0</v>
      </c>
      <c r="AR223" s="29">
        <v>0</v>
      </c>
      <c r="AS223" s="29">
        <v>0</v>
      </c>
      <c r="AT223" s="29">
        <v>0</v>
      </c>
      <c r="AU223" s="29">
        <v>0</v>
      </c>
      <c r="AV223" s="29">
        <v>0</v>
      </c>
      <c r="AW223" s="29">
        <v>5806</v>
      </c>
      <c r="AX223" s="29">
        <v>0</v>
      </c>
      <c r="AY223" s="29">
        <v>0</v>
      </c>
      <c r="AZ223" s="29">
        <v>259186.81144451682</v>
      </c>
      <c r="BA223" s="29">
        <v>0</v>
      </c>
      <c r="BB223" s="29">
        <v>1281</v>
      </c>
      <c r="BC223" s="29">
        <v>0</v>
      </c>
      <c r="BD223" s="180">
        <v>0</v>
      </c>
      <c r="BE223" s="29">
        <v>0</v>
      </c>
      <c r="BF223" s="29">
        <v>0</v>
      </c>
      <c r="BG223" s="29">
        <v>0</v>
      </c>
      <c r="BH223" s="29">
        <v>0</v>
      </c>
      <c r="BI223" s="29">
        <v>0</v>
      </c>
      <c r="BJ223" s="29">
        <v>0</v>
      </c>
      <c r="BK223" s="29">
        <v>0</v>
      </c>
      <c r="BL223" s="29">
        <v>0</v>
      </c>
      <c r="BM223" s="29">
        <v>0</v>
      </c>
      <c r="BN223" s="29">
        <v>0</v>
      </c>
      <c r="BO223" s="29">
        <v>0</v>
      </c>
      <c r="BP223" s="29">
        <v>0</v>
      </c>
      <c r="BQ223" s="29">
        <v>0</v>
      </c>
      <c r="BR223" s="29">
        <v>0</v>
      </c>
      <c r="BS223" s="29">
        <v>0</v>
      </c>
      <c r="BT223" s="29">
        <v>0</v>
      </c>
      <c r="BU223" s="29">
        <v>0</v>
      </c>
      <c r="BV223" s="29">
        <v>0</v>
      </c>
      <c r="BW223" s="29">
        <v>0</v>
      </c>
      <c r="BX223" s="29">
        <v>0</v>
      </c>
      <c r="BY223" s="29">
        <v>0</v>
      </c>
      <c r="BZ223" s="29">
        <v>0</v>
      </c>
      <c r="CA223" s="29">
        <v>0</v>
      </c>
      <c r="CB223" s="29">
        <v>0</v>
      </c>
      <c r="CC223" s="29">
        <v>0</v>
      </c>
      <c r="CD223" s="29">
        <v>0</v>
      </c>
      <c r="CE223" s="29">
        <v>0</v>
      </c>
      <c r="CF223" s="29">
        <v>0</v>
      </c>
      <c r="CG223" s="29">
        <v>0</v>
      </c>
      <c r="CH223" s="29">
        <v>0</v>
      </c>
      <c r="CI223" s="29">
        <v>0</v>
      </c>
      <c r="CJ223" s="29">
        <v>0</v>
      </c>
      <c r="CK223" s="29">
        <v>0</v>
      </c>
      <c r="CL223" s="29">
        <v>0</v>
      </c>
      <c r="CM223" s="29">
        <v>0</v>
      </c>
      <c r="CN223" s="29">
        <v>0</v>
      </c>
      <c r="CO223" s="29">
        <v>0</v>
      </c>
      <c r="CP223" s="29">
        <v>0</v>
      </c>
      <c r="CQ223" s="29">
        <v>0</v>
      </c>
      <c r="CR223" s="29">
        <v>0</v>
      </c>
      <c r="CS223" s="29">
        <v>0</v>
      </c>
      <c r="CT223" s="29">
        <v>0</v>
      </c>
      <c r="CU223" s="361">
        <v>0</v>
      </c>
      <c r="CV223" s="189"/>
    </row>
    <row r="224" spans="1:100" ht="38.25" x14ac:dyDescent="0.2">
      <c r="A224" s="4" t="s">
        <v>1025</v>
      </c>
      <c r="B224" s="371" t="s">
        <v>1112</v>
      </c>
      <c r="C224" s="84">
        <f>SUM(D224:DX224)</f>
        <v>518608.26143266575</v>
      </c>
      <c r="D224" s="29">
        <v>50316.481972025853</v>
      </c>
      <c r="E224" s="29">
        <v>0</v>
      </c>
      <c r="F224" s="29">
        <v>0</v>
      </c>
      <c r="G224" s="29">
        <v>73622</v>
      </c>
      <c r="H224" s="29">
        <v>0</v>
      </c>
      <c r="I224" s="29">
        <v>0</v>
      </c>
      <c r="J224" s="29">
        <v>0</v>
      </c>
      <c r="K224" s="29">
        <v>0</v>
      </c>
      <c r="L224" s="29">
        <v>0</v>
      </c>
      <c r="M224" s="29">
        <v>0</v>
      </c>
      <c r="N224" s="29">
        <v>0</v>
      </c>
      <c r="O224" s="29">
        <v>0</v>
      </c>
      <c r="P224" s="29">
        <v>40000</v>
      </c>
      <c r="Q224" s="29">
        <v>0</v>
      </c>
      <c r="R224" s="29">
        <v>0</v>
      </c>
      <c r="S224" s="29">
        <v>0</v>
      </c>
      <c r="T224" s="29">
        <v>0</v>
      </c>
      <c r="U224" s="29">
        <v>0</v>
      </c>
      <c r="V224" s="29">
        <v>0</v>
      </c>
      <c r="W224" s="29">
        <v>0</v>
      </c>
      <c r="X224" s="29">
        <v>0</v>
      </c>
      <c r="Y224" s="29">
        <v>0</v>
      </c>
      <c r="Z224" s="29">
        <v>0</v>
      </c>
      <c r="AA224" s="29">
        <v>0</v>
      </c>
      <c r="AB224" s="29">
        <v>0</v>
      </c>
      <c r="AC224" s="29">
        <v>0</v>
      </c>
      <c r="AD224" s="29">
        <v>0</v>
      </c>
      <c r="AE224" s="29">
        <v>0</v>
      </c>
      <c r="AF224" s="29">
        <v>0</v>
      </c>
      <c r="AG224" s="29">
        <v>0</v>
      </c>
      <c r="AH224" s="29">
        <v>0</v>
      </c>
      <c r="AI224" s="29">
        <v>0</v>
      </c>
      <c r="AJ224" s="29">
        <v>0</v>
      </c>
      <c r="AK224" s="29">
        <v>0</v>
      </c>
      <c r="AL224" s="29">
        <v>0</v>
      </c>
      <c r="AM224" s="29">
        <v>0</v>
      </c>
      <c r="AN224" s="29">
        <v>0</v>
      </c>
      <c r="AO224" s="29">
        <v>0</v>
      </c>
      <c r="AP224" s="29">
        <v>0</v>
      </c>
      <c r="AQ224" s="29">
        <v>0</v>
      </c>
      <c r="AR224" s="29">
        <v>0</v>
      </c>
      <c r="AS224" s="29">
        <v>0</v>
      </c>
      <c r="AT224" s="29">
        <v>0</v>
      </c>
      <c r="AU224" s="29">
        <v>0</v>
      </c>
      <c r="AV224" s="29">
        <v>0</v>
      </c>
      <c r="AW224" s="29">
        <v>15389</v>
      </c>
      <c r="AX224" s="29">
        <v>0</v>
      </c>
      <c r="AY224" s="29">
        <v>0</v>
      </c>
      <c r="AZ224" s="29">
        <v>291603.94039288873</v>
      </c>
      <c r="BA224" s="29">
        <v>37646.839067751192</v>
      </c>
      <c r="BB224" s="29">
        <v>10030</v>
      </c>
      <c r="BC224" s="29">
        <v>0</v>
      </c>
      <c r="BD224" s="180">
        <v>0</v>
      </c>
      <c r="BE224" s="29">
        <v>0</v>
      </c>
      <c r="BF224" s="29">
        <v>0</v>
      </c>
      <c r="BG224" s="29">
        <v>0</v>
      </c>
      <c r="BH224" s="29">
        <v>0</v>
      </c>
      <c r="BI224" s="29">
        <v>0</v>
      </c>
      <c r="BJ224" s="29">
        <v>0</v>
      </c>
      <c r="BK224" s="29">
        <v>0</v>
      </c>
      <c r="BL224" s="29">
        <v>0</v>
      </c>
      <c r="BM224" s="29">
        <v>0</v>
      </c>
      <c r="BN224" s="29">
        <v>0</v>
      </c>
      <c r="BO224" s="29">
        <v>0</v>
      </c>
      <c r="BP224" s="29">
        <v>0</v>
      </c>
      <c r="BQ224" s="29">
        <v>0</v>
      </c>
      <c r="BR224" s="29">
        <v>0</v>
      </c>
      <c r="BS224" s="29">
        <v>0</v>
      </c>
      <c r="BT224" s="29">
        <v>0</v>
      </c>
      <c r="BU224" s="29">
        <v>0</v>
      </c>
      <c r="BV224" s="29">
        <v>0</v>
      </c>
      <c r="BW224" s="29">
        <v>0</v>
      </c>
      <c r="BX224" s="29">
        <v>0</v>
      </c>
      <c r="BY224" s="29">
        <v>0</v>
      </c>
      <c r="BZ224" s="29">
        <v>0</v>
      </c>
      <c r="CA224" s="29">
        <v>0</v>
      </c>
      <c r="CB224" s="29">
        <v>0</v>
      </c>
      <c r="CC224" s="29">
        <v>0</v>
      </c>
      <c r="CD224" s="29">
        <v>0</v>
      </c>
      <c r="CE224" s="29">
        <v>0</v>
      </c>
      <c r="CF224" s="29">
        <v>0</v>
      </c>
      <c r="CG224" s="29">
        <v>0</v>
      </c>
      <c r="CH224" s="29">
        <v>0</v>
      </c>
      <c r="CI224" s="29">
        <v>0</v>
      </c>
      <c r="CJ224" s="29">
        <v>0</v>
      </c>
      <c r="CK224" s="29">
        <v>0</v>
      </c>
      <c r="CL224" s="29">
        <v>0</v>
      </c>
      <c r="CM224" s="29">
        <v>0</v>
      </c>
      <c r="CN224" s="29">
        <v>0</v>
      </c>
      <c r="CO224" s="29">
        <v>0</v>
      </c>
      <c r="CP224" s="29">
        <v>0</v>
      </c>
      <c r="CQ224" s="29">
        <v>0</v>
      </c>
      <c r="CR224" s="29">
        <v>0</v>
      </c>
      <c r="CS224" s="29">
        <v>0</v>
      </c>
      <c r="CT224" s="29">
        <v>0</v>
      </c>
      <c r="CU224" s="361">
        <v>0</v>
      </c>
      <c r="CV224" s="189"/>
    </row>
    <row r="225" spans="1:100" ht="51" x14ac:dyDescent="0.2">
      <c r="A225" s="4" t="s">
        <v>1025</v>
      </c>
      <c r="B225" s="366" t="s">
        <v>1113</v>
      </c>
      <c r="C225" s="191"/>
      <c r="D225" s="191"/>
      <c r="E225" s="191"/>
      <c r="F225" s="191"/>
      <c r="G225" s="191"/>
      <c r="H225" s="191"/>
      <c r="I225" s="191"/>
      <c r="J225" s="191"/>
      <c r="K225" s="191"/>
      <c r="L225" s="191"/>
      <c r="M225" s="191"/>
      <c r="N225" s="191"/>
      <c r="O225" s="191"/>
      <c r="P225" s="191"/>
      <c r="Q225" s="191"/>
      <c r="R225" s="191"/>
      <c r="S225" s="191"/>
      <c r="T225" s="191"/>
      <c r="U225" s="191"/>
      <c r="V225" s="191"/>
      <c r="W225" s="191"/>
      <c r="X225" s="191"/>
      <c r="Y225" s="191"/>
      <c r="Z225" s="191"/>
      <c r="AA225" s="191"/>
      <c r="AB225" s="191"/>
      <c r="AC225" s="191"/>
      <c r="AD225" s="191"/>
      <c r="AE225" s="191"/>
      <c r="AF225" s="191"/>
      <c r="AG225" s="191"/>
      <c r="AH225" s="191"/>
      <c r="AI225" s="191"/>
      <c r="AJ225" s="191"/>
      <c r="AK225" s="191"/>
      <c r="AL225" s="191"/>
      <c r="AM225" s="191"/>
      <c r="AN225" s="191"/>
      <c r="AO225" s="191"/>
      <c r="AP225" s="191"/>
      <c r="AQ225" s="191"/>
      <c r="AR225" s="191"/>
      <c r="AS225" s="191"/>
      <c r="AT225" s="191"/>
      <c r="AU225" s="191"/>
      <c r="AV225" s="191"/>
      <c r="AW225" s="191"/>
      <c r="AX225" s="191"/>
      <c r="AY225" s="191"/>
      <c r="AZ225" s="191"/>
      <c r="BA225" s="191"/>
      <c r="BB225" s="191"/>
      <c r="BC225" s="191"/>
      <c r="BD225" s="192"/>
      <c r="BE225" s="191"/>
      <c r="BF225" s="191"/>
      <c r="BG225" s="191"/>
      <c r="BH225" s="191"/>
      <c r="BI225" s="191"/>
      <c r="BJ225" s="191"/>
      <c r="BK225" s="191"/>
      <c r="BL225" s="191"/>
      <c r="BM225" s="191"/>
      <c r="BN225" s="191"/>
      <c r="BO225" s="191"/>
      <c r="BP225" s="191"/>
      <c r="BQ225" s="191"/>
      <c r="BR225" s="191"/>
      <c r="BS225" s="191"/>
      <c r="BT225" s="191"/>
      <c r="BU225" s="191"/>
      <c r="BV225" s="191"/>
      <c r="BW225" s="191"/>
      <c r="BX225" s="191"/>
      <c r="BY225" s="191"/>
      <c r="BZ225" s="191"/>
      <c r="CA225" s="191"/>
      <c r="CB225" s="191"/>
      <c r="CC225" s="191"/>
      <c r="CD225" s="191"/>
      <c r="CE225" s="191"/>
      <c r="CF225" s="191"/>
      <c r="CG225" s="191"/>
      <c r="CH225" s="191"/>
      <c r="CI225" s="191"/>
      <c r="CJ225" s="191"/>
      <c r="CK225" s="191"/>
      <c r="CL225" s="191"/>
      <c r="CM225" s="191"/>
      <c r="CN225" s="191"/>
      <c r="CO225" s="191"/>
      <c r="CP225" s="191"/>
      <c r="CQ225" s="191"/>
      <c r="CR225" s="191"/>
      <c r="CS225" s="191"/>
      <c r="CT225" s="191"/>
      <c r="CU225" s="367"/>
      <c r="CV225" s="189"/>
    </row>
    <row r="226" spans="1:100" ht="38.25" x14ac:dyDescent="0.2">
      <c r="A226" s="4" t="s">
        <v>1025</v>
      </c>
      <c r="B226" s="371" t="s">
        <v>1114</v>
      </c>
      <c r="C226" s="84">
        <f>SUM(D226:DX226)</f>
        <v>220182.54546280013</v>
      </c>
      <c r="D226" s="29">
        <v>2037.3130251815608</v>
      </c>
      <c r="E226" s="29">
        <v>0</v>
      </c>
      <c r="F226" s="29">
        <v>0</v>
      </c>
      <c r="G226" s="29">
        <v>94223</v>
      </c>
      <c r="H226" s="29">
        <v>0</v>
      </c>
      <c r="I226" s="29">
        <v>0</v>
      </c>
      <c r="J226" s="29">
        <v>0</v>
      </c>
      <c r="K226" s="29">
        <v>0</v>
      </c>
      <c r="L226" s="29">
        <v>0</v>
      </c>
      <c r="M226" s="29">
        <v>0</v>
      </c>
      <c r="N226" s="29">
        <v>0</v>
      </c>
      <c r="O226" s="29">
        <v>0</v>
      </c>
      <c r="P226" s="29">
        <v>0</v>
      </c>
      <c r="Q226" s="29">
        <v>0</v>
      </c>
      <c r="R226" s="29">
        <v>0</v>
      </c>
      <c r="S226" s="29">
        <v>0</v>
      </c>
      <c r="T226" s="29">
        <v>0</v>
      </c>
      <c r="U226" s="29">
        <v>0</v>
      </c>
      <c r="V226" s="29">
        <v>0</v>
      </c>
      <c r="W226" s="29">
        <v>0</v>
      </c>
      <c r="X226" s="29">
        <v>0</v>
      </c>
      <c r="Y226" s="29">
        <v>0</v>
      </c>
      <c r="Z226" s="29">
        <v>0</v>
      </c>
      <c r="AA226" s="29">
        <v>0</v>
      </c>
      <c r="AB226" s="29">
        <v>0</v>
      </c>
      <c r="AC226" s="29">
        <v>0</v>
      </c>
      <c r="AD226" s="29">
        <v>0</v>
      </c>
      <c r="AE226" s="29">
        <v>0</v>
      </c>
      <c r="AF226" s="29">
        <v>0</v>
      </c>
      <c r="AG226" s="29">
        <v>0</v>
      </c>
      <c r="AH226" s="29">
        <v>0</v>
      </c>
      <c r="AI226" s="29">
        <v>0</v>
      </c>
      <c r="AJ226" s="29">
        <v>0</v>
      </c>
      <c r="AK226" s="29">
        <v>0</v>
      </c>
      <c r="AL226" s="29">
        <v>0</v>
      </c>
      <c r="AM226" s="29">
        <v>0</v>
      </c>
      <c r="AN226" s="29">
        <v>0</v>
      </c>
      <c r="AO226" s="29">
        <v>0</v>
      </c>
      <c r="AP226" s="29">
        <v>0</v>
      </c>
      <c r="AQ226" s="29">
        <v>0</v>
      </c>
      <c r="AR226" s="29">
        <v>0</v>
      </c>
      <c r="AS226" s="29">
        <v>0</v>
      </c>
      <c r="AT226" s="29">
        <v>0</v>
      </c>
      <c r="AU226" s="29">
        <v>0</v>
      </c>
      <c r="AV226" s="29">
        <v>0</v>
      </c>
      <c r="AW226" s="29">
        <v>16918</v>
      </c>
      <c r="AX226" s="29">
        <v>3299.2182709737704</v>
      </c>
      <c r="AY226" s="29">
        <v>0</v>
      </c>
      <c r="AZ226" s="29">
        <v>2811.9782981998919</v>
      </c>
      <c r="BA226" s="29">
        <v>3863.0358684449106</v>
      </c>
      <c r="BB226" s="29">
        <v>97030</v>
      </c>
      <c r="BC226" s="29">
        <v>0</v>
      </c>
      <c r="BD226" s="180">
        <v>0</v>
      </c>
      <c r="BE226" s="29">
        <v>0</v>
      </c>
      <c r="BF226" s="29">
        <v>0</v>
      </c>
      <c r="BG226" s="29">
        <v>0</v>
      </c>
      <c r="BH226" s="29">
        <v>0</v>
      </c>
      <c r="BI226" s="29">
        <v>0</v>
      </c>
      <c r="BJ226" s="29">
        <v>0</v>
      </c>
      <c r="BK226" s="29">
        <v>0</v>
      </c>
      <c r="BL226" s="29">
        <v>0</v>
      </c>
      <c r="BM226" s="29">
        <v>0</v>
      </c>
      <c r="BN226" s="29">
        <v>0</v>
      </c>
      <c r="BO226" s="29">
        <v>0</v>
      </c>
      <c r="BP226" s="29">
        <v>0</v>
      </c>
      <c r="BQ226" s="29">
        <v>0</v>
      </c>
      <c r="BR226" s="29">
        <v>0</v>
      </c>
      <c r="BS226" s="29">
        <v>0</v>
      </c>
      <c r="BT226" s="29">
        <v>0</v>
      </c>
      <c r="BU226" s="29">
        <v>0</v>
      </c>
      <c r="BV226" s="29">
        <v>0</v>
      </c>
      <c r="BW226" s="29">
        <v>0</v>
      </c>
      <c r="BX226" s="29">
        <v>0</v>
      </c>
      <c r="BY226" s="29">
        <v>0</v>
      </c>
      <c r="BZ226" s="29">
        <v>0</v>
      </c>
      <c r="CA226" s="29">
        <v>0</v>
      </c>
      <c r="CB226" s="29">
        <v>0</v>
      </c>
      <c r="CC226" s="29">
        <v>0</v>
      </c>
      <c r="CD226" s="29">
        <v>0</v>
      </c>
      <c r="CE226" s="29">
        <v>0</v>
      </c>
      <c r="CF226" s="29">
        <v>0</v>
      </c>
      <c r="CG226" s="29">
        <v>0</v>
      </c>
      <c r="CH226" s="29">
        <v>0</v>
      </c>
      <c r="CI226" s="29">
        <v>0</v>
      </c>
      <c r="CJ226" s="29">
        <v>0</v>
      </c>
      <c r="CK226" s="29">
        <v>0</v>
      </c>
      <c r="CL226" s="29">
        <v>0</v>
      </c>
      <c r="CM226" s="29">
        <v>0</v>
      </c>
      <c r="CN226" s="29">
        <v>0</v>
      </c>
      <c r="CO226" s="29">
        <v>0</v>
      </c>
      <c r="CP226" s="29">
        <v>0</v>
      </c>
      <c r="CQ226" s="29">
        <v>0</v>
      </c>
      <c r="CR226" s="29">
        <v>0</v>
      </c>
      <c r="CS226" s="29">
        <v>0</v>
      </c>
      <c r="CT226" s="29">
        <v>0</v>
      </c>
      <c r="CU226" s="361">
        <v>0</v>
      </c>
      <c r="CV226" s="189"/>
    </row>
    <row r="227" spans="1:100" ht="51" x14ac:dyDescent="0.2">
      <c r="A227" s="4" t="s">
        <v>1025</v>
      </c>
      <c r="B227" s="371" t="s">
        <v>1115</v>
      </c>
      <c r="C227" s="84">
        <f>SUM(D227:DX227)</f>
        <v>1720459.4841768001</v>
      </c>
      <c r="D227" s="29">
        <v>55518.571299154552</v>
      </c>
      <c r="E227" s="29">
        <v>0</v>
      </c>
      <c r="F227" s="29">
        <v>0</v>
      </c>
      <c r="G227" s="29">
        <v>1392961</v>
      </c>
      <c r="H227" s="29">
        <v>0</v>
      </c>
      <c r="I227" s="29">
        <v>0</v>
      </c>
      <c r="J227" s="29">
        <v>0</v>
      </c>
      <c r="K227" s="29">
        <v>0</v>
      </c>
      <c r="L227" s="29">
        <v>0</v>
      </c>
      <c r="M227" s="29">
        <v>0</v>
      </c>
      <c r="N227" s="29">
        <v>0</v>
      </c>
      <c r="O227" s="29">
        <v>0</v>
      </c>
      <c r="P227" s="29">
        <v>0</v>
      </c>
      <c r="Q227" s="29">
        <v>0</v>
      </c>
      <c r="R227" s="29">
        <v>0</v>
      </c>
      <c r="S227" s="29">
        <v>0</v>
      </c>
      <c r="T227" s="29">
        <v>0</v>
      </c>
      <c r="U227" s="29">
        <v>0</v>
      </c>
      <c r="V227" s="29">
        <v>0</v>
      </c>
      <c r="W227" s="29">
        <v>0</v>
      </c>
      <c r="X227" s="29">
        <v>0</v>
      </c>
      <c r="Y227" s="29">
        <v>0</v>
      </c>
      <c r="Z227" s="29">
        <v>0</v>
      </c>
      <c r="AA227" s="29">
        <v>0</v>
      </c>
      <c r="AB227" s="29">
        <v>0</v>
      </c>
      <c r="AC227" s="29">
        <v>0</v>
      </c>
      <c r="AD227" s="29">
        <v>0</v>
      </c>
      <c r="AE227" s="29">
        <v>0</v>
      </c>
      <c r="AF227" s="29">
        <v>0</v>
      </c>
      <c r="AG227" s="29">
        <v>0</v>
      </c>
      <c r="AH227" s="29">
        <v>0</v>
      </c>
      <c r="AI227" s="29">
        <v>0</v>
      </c>
      <c r="AJ227" s="29">
        <v>0</v>
      </c>
      <c r="AK227" s="29">
        <v>0</v>
      </c>
      <c r="AL227" s="29">
        <v>0</v>
      </c>
      <c r="AM227" s="29">
        <v>0</v>
      </c>
      <c r="AN227" s="29">
        <v>0</v>
      </c>
      <c r="AO227" s="29">
        <v>0</v>
      </c>
      <c r="AP227" s="29">
        <v>0</v>
      </c>
      <c r="AQ227" s="29">
        <v>0</v>
      </c>
      <c r="AR227" s="29">
        <v>0</v>
      </c>
      <c r="AS227" s="29">
        <v>0</v>
      </c>
      <c r="AT227" s="29">
        <v>0</v>
      </c>
      <c r="AU227" s="29">
        <v>0</v>
      </c>
      <c r="AV227" s="29">
        <v>0</v>
      </c>
      <c r="AW227" s="29">
        <v>8551</v>
      </c>
      <c r="AX227" s="29">
        <v>25221.468033091707</v>
      </c>
      <c r="AY227" s="29">
        <v>0</v>
      </c>
      <c r="AZ227" s="29">
        <v>49335.408976109036</v>
      </c>
      <c r="BA227" s="29">
        <v>3863.0358684449106</v>
      </c>
      <c r="BB227" s="29">
        <v>162509</v>
      </c>
      <c r="BC227" s="29">
        <v>0</v>
      </c>
      <c r="BD227" s="180">
        <v>0</v>
      </c>
      <c r="BE227" s="29">
        <v>0</v>
      </c>
      <c r="BF227" s="29">
        <v>0</v>
      </c>
      <c r="BG227" s="29">
        <v>0</v>
      </c>
      <c r="BH227" s="29">
        <v>0</v>
      </c>
      <c r="BI227" s="29">
        <v>0</v>
      </c>
      <c r="BJ227" s="29">
        <v>0</v>
      </c>
      <c r="BK227" s="29">
        <v>0</v>
      </c>
      <c r="BL227" s="29">
        <v>22500</v>
      </c>
      <c r="BM227" s="29">
        <v>0</v>
      </c>
      <c r="BN227" s="29">
        <v>0</v>
      </c>
      <c r="BO227" s="29">
        <v>0</v>
      </c>
      <c r="BP227" s="29">
        <v>0</v>
      </c>
      <c r="BQ227" s="29">
        <v>0</v>
      </c>
      <c r="BR227" s="29">
        <v>0</v>
      </c>
      <c r="BS227" s="29">
        <v>0</v>
      </c>
      <c r="BT227" s="29">
        <v>0</v>
      </c>
      <c r="BU227" s="29">
        <v>0</v>
      </c>
      <c r="BV227" s="29">
        <v>0</v>
      </c>
      <c r="BW227" s="29">
        <v>0</v>
      </c>
      <c r="BX227" s="29">
        <v>0</v>
      </c>
      <c r="BY227" s="29">
        <v>0</v>
      </c>
      <c r="BZ227" s="29">
        <v>0</v>
      </c>
      <c r="CA227" s="29">
        <v>0</v>
      </c>
      <c r="CB227" s="29">
        <v>0</v>
      </c>
      <c r="CC227" s="29">
        <v>0</v>
      </c>
      <c r="CD227" s="29">
        <v>0</v>
      </c>
      <c r="CE227" s="29">
        <v>0</v>
      </c>
      <c r="CF227" s="29">
        <v>0</v>
      </c>
      <c r="CG227" s="29">
        <v>0</v>
      </c>
      <c r="CH227" s="29">
        <v>0</v>
      </c>
      <c r="CI227" s="29">
        <v>0</v>
      </c>
      <c r="CJ227" s="29">
        <v>0</v>
      </c>
      <c r="CK227" s="29">
        <v>0</v>
      </c>
      <c r="CL227" s="29">
        <v>0</v>
      </c>
      <c r="CM227" s="29">
        <v>0</v>
      </c>
      <c r="CN227" s="29">
        <v>0</v>
      </c>
      <c r="CO227" s="29">
        <v>0</v>
      </c>
      <c r="CP227" s="29">
        <v>0</v>
      </c>
      <c r="CQ227" s="29">
        <v>0</v>
      </c>
      <c r="CR227" s="29">
        <v>0</v>
      </c>
      <c r="CS227" s="29">
        <v>0</v>
      </c>
      <c r="CT227" s="29">
        <v>0</v>
      </c>
      <c r="CU227" s="361">
        <v>0</v>
      </c>
      <c r="CV227" s="189"/>
    </row>
    <row r="228" spans="1:100" ht="38.25" x14ac:dyDescent="0.2">
      <c r="A228" s="4" t="s">
        <v>1025</v>
      </c>
      <c r="B228" s="371" t="s">
        <v>1116</v>
      </c>
      <c r="C228" s="84">
        <f>SUM(D228:DX228)</f>
        <v>282760.45347503241</v>
      </c>
      <c r="D228" s="29">
        <v>54642.67373837268</v>
      </c>
      <c r="E228" s="29">
        <v>0</v>
      </c>
      <c r="F228" s="29">
        <v>0</v>
      </c>
      <c r="G228" s="29">
        <v>40936</v>
      </c>
      <c r="H228" s="29">
        <v>0</v>
      </c>
      <c r="I228" s="29">
        <v>0</v>
      </c>
      <c r="J228" s="29">
        <v>0</v>
      </c>
      <c r="K228" s="29">
        <v>0</v>
      </c>
      <c r="L228" s="29">
        <v>0</v>
      </c>
      <c r="M228" s="29">
        <v>0</v>
      </c>
      <c r="N228" s="29">
        <v>0</v>
      </c>
      <c r="O228" s="29">
        <v>0</v>
      </c>
      <c r="P228" s="29">
        <v>0</v>
      </c>
      <c r="Q228" s="29">
        <v>0</v>
      </c>
      <c r="R228" s="29">
        <v>0</v>
      </c>
      <c r="S228" s="29">
        <v>0</v>
      </c>
      <c r="T228" s="29">
        <v>0</v>
      </c>
      <c r="U228" s="29">
        <v>0</v>
      </c>
      <c r="V228" s="29">
        <v>0</v>
      </c>
      <c r="W228" s="29">
        <v>0</v>
      </c>
      <c r="X228" s="29">
        <v>0</v>
      </c>
      <c r="Y228" s="29">
        <v>0</v>
      </c>
      <c r="Z228" s="29">
        <v>0</v>
      </c>
      <c r="AA228" s="29">
        <v>0</v>
      </c>
      <c r="AB228" s="29">
        <v>0</v>
      </c>
      <c r="AC228" s="29">
        <v>0</v>
      </c>
      <c r="AD228" s="29">
        <v>0</v>
      </c>
      <c r="AE228" s="29">
        <v>0</v>
      </c>
      <c r="AF228" s="29">
        <v>0</v>
      </c>
      <c r="AG228" s="29">
        <v>0</v>
      </c>
      <c r="AH228" s="29">
        <v>0</v>
      </c>
      <c r="AI228" s="29">
        <v>0</v>
      </c>
      <c r="AJ228" s="29">
        <v>0</v>
      </c>
      <c r="AK228" s="29">
        <v>0</v>
      </c>
      <c r="AL228" s="29">
        <v>0</v>
      </c>
      <c r="AM228" s="29">
        <v>0</v>
      </c>
      <c r="AN228" s="29">
        <v>0</v>
      </c>
      <c r="AO228" s="29">
        <v>0</v>
      </c>
      <c r="AP228" s="29">
        <v>0</v>
      </c>
      <c r="AQ228" s="29">
        <v>0</v>
      </c>
      <c r="AR228" s="29">
        <v>0</v>
      </c>
      <c r="AS228" s="29">
        <v>0</v>
      </c>
      <c r="AT228" s="29">
        <v>0</v>
      </c>
      <c r="AU228" s="29">
        <v>0</v>
      </c>
      <c r="AV228" s="29">
        <v>0</v>
      </c>
      <c r="AW228" s="29">
        <v>0</v>
      </c>
      <c r="AX228" s="29">
        <v>7996.8357108157052</v>
      </c>
      <c r="AY228" s="29">
        <v>0</v>
      </c>
      <c r="AZ228" s="29">
        <v>131227.9081573991</v>
      </c>
      <c r="BA228" s="29">
        <v>3863.0358684449106</v>
      </c>
      <c r="BB228" s="29">
        <v>44094</v>
      </c>
      <c r="BC228" s="29">
        <v>0</v>
      </c>
      <c r="BD228" s="180">
        <v>0</v>
      </c>
      <c r="BE228" s="29">
        <v>0</v>
      </c>
      <c r="BF228" s="29">
        <v>0</v>
      </c>
      <c r="BG228" s="29">
        <v>0</v>
      </c>
      <c r="BH228" s="29">
        <v>0</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361">
        <v>0</v>
      </c>
      <c r="CV228" s="189"/>
    </row>
    <row r="229" spans="1:100" ht="38.25" x14ac:dyDescent="0.2">
      <c r="A229" s="4" t="s">
        <v>1025</v>
      </c>
      <c r="B229" s="371" t="s">
        <v>1117</v>
      </c>
      <c r="C229" s="84">
        <f>SUM(D229:DX229)</f>
        <v>401105.68419768498</v>
      </c>
      <c r="D229" s="29">
        <v>14465.727037532397</v>
      </c>
      <c r="E229" s="29">
        <v>0</v>
      </c>
      <c r="F229" s="29">
        <v>0</v>
      </c>
      <c r="G229" s="29">
        <v>260004</v>
      </c>
      <c r="H229" s="29">
        <v>0</v>
      </c>
      <c r="I229" s="29">
        <v>0</v>
      </c>
      <c r="J229" s="29">
        <v>0</v>
      </c>
      <c r="K229" s="29">
        <v>0</v>
      </c>
      <c r="L229" s="29">
        <v>0</v>
      </c>
      <c r="M229" s="29">
        <v>0</v>
      </c>
      <c r="N229" s="29">
        <v>0</v>
      </c>
      <c r="O229" s="29">
        <v>0</v>
      </c>
      <c r="P229" s="29">
        <v>0</v>
      </c>
      <c r="Q229" s="29">
        <v>0</v>
      </c>
      <c r="R229" s="29">
        <v>0</v>
      </c>
      <c r="S229" s="29">
        <v>0</v>
      </c>
      <c r="T229" s="29">
        <v>0</v>
      </c>
      <c r="U229" s="29">
        <v>0</v>
      </c>
      <c r="V229" s="29">
        <v>0</v>
      </c>
      <c r="W229" s="29">
        <v>0</v>
      </c>
      <c r="X229" s="29">
        <v>0</v>
      </c>
      <c r="Y229" s="29">
        <v>0</v>
      </c>
      <c r="Z229" s="29">
        <v>0</v>
      </c>
      <c r="AA229" s="29">
        <v>0</v>
      </c>
      <c r="AB229" s="29">
        <v>0</v>
      </c>
      <c r="AC229" s="29">
        <v>0</v>
      </c>
      <c r="AD229" s="29">
        <v>0</v>
      </c>
      <c r="AE229" s="29">
        <v>0</v>
      </c>
      <c r="AF229" s="29">
        <v>0</v>
      </c>
      <c r="AG229" s="29">
        <v>0</v>
      </c>
      <c r="AH229" s="29">
        <v>0</v>
      </c>
      <c r="AI229" s="29">
        <v>0</v>
      </c>
      <c r="AJ229" s="29">
        <v>0</v>
      </c>
      <c r="AK229" s="29">
        <v>0</v>
      </c>
      <c r="AL229" s="29">
        <v>0</v>
      </c>
      <c r="AM229" s="29">
        <v>0</v>
      </c>
      <c r="AN229" s="29">
        <v>0</v>
      </c>
      <c r="AO229" s="29">
        <v>0</v>
      </c>
      <c r="AP229" s="29">
        <v>0</v>
      </c>
      <c r="AQ229" s="29">
        <v>0</v>
      </c>
      <c r="AR229" s="29">
        <v>0</v>
      </c>
      <c r="AS229" s="29">
        <v>0</v>
      </c>
      <c r="AT229" s="29">
        <v>0</v>
      </c>
      <c r="AU229" s="29">
        <v>0</v>
      </c>
      <c r="AV229" s="29">
        <v>0</v>
      </c>
      <c r="AW229" s="29">
        <v>0</v>
      </c>
      <c r="AX229" s="29">
        <v>7996.8357108157052</v>
      </c>
      <c r="AY229" s="29">
        <v>0</v>
      </c>
      <c r="AZ229" s="29">
        <v>10571.870370222567</v>
      </c>
      <c r="BA229" s="29">
        <v>27041.251079114372</v>
      </c>
      <c r="BB229" s="29">
        <v>81026</v>
      </c>
      <c r="BC229" s="29">
        <v>0</v>
      </c>
      <c r="BD229" s="180">
        <v>0</v>
      </c>
      <c r="BE229" s="29">
        <v>0</v>
      </c>
      <c r="BF229" s="29">
        <v>0</v>
      </c>
      <c r="BG229" s="29">
        <v>0</v>
      </c>
      <c r="BH229" s="29">
        <v>0</v>
      </c>
      <c r="BI229" s="29">
        <v>0</v>
      </c>
      <c r="BJ229" s="29">
        <v>0</v>
      </c>
      <c r="BK229" s="29">
        <v>0</v>
      </c>
      <c r="BL229" s="29">
        <v>0</v>
      </c>
      <c r="BM229" s="29">
        <v>0</v>
      </c>
      <c r="BN229" s="29">
        <v>0</v>
      </c>
      <c r="BO229" s="29">
        <v>0</v>
      </c>
      <c r="BP229" s="29">
        <v>0</v>
      </c>
      <c r="BQ229" s="29">
        <v>0</v>
      </c>
      <c r="BR229" s="29">
        <v>0</v>
      </c>
      <c r="BS229" s="29">
        <v>0</v>
      </c>
      <c r="BT229" s="29">
        <v>0</v>
      </c>
      <c r="BU229" s="29">
        <v>0</v>
      </c>
      <c r="BV229" s="29">
        <v>0</v>
      </c>
      <c r="BW229" s="29">
        <v>0</v>
      </c>
      <c r="BX229" s="29">
        <v>0</v>
      </c>
      <c r="BY229" s="29">
        <v>0</v>
      </c>
      <c r="BZ229" s="29">
        <v>0</v>
      </c>
      <c r="CA229" s="29">
        <v>0</v>
      </c>
      <c r="CB229" s="29">
        <v>0</v>
      </c>
      <c r="CC229" s="29">
        <v>0</v>
      </c>
      <c r="CD229" s="29">
        <v>0</v>
      </c>
      <c r="CE229" s="29">
        <v>0</v>
      </c>
      <c r="CF229" s="29">
        <v>0</v>
      </c>
      <c r="CG229" s="29">
        <v>0</v>
      </c>
      <c r="CH229" s="29">
        <v>0</v>
      </c>
      <c r="CI229" s="29">
        <v>0</v>
      </c>
      <c r="CJ229" s="29">
        <v>0</v>
      </c>
      <c r="CK229" s="29">
        <v>0</v>
      </c>
      <c r="CL229" s="29">
        <v>0</v>
      </c>
      <c r="CM229" s="29">
        <v>0</v>
      </c>
      <c r="CN229" s="29">
        <v>0</v>
      </c>
      <c r="CO229" s="29">
        <v>0</v>
      </c>
      <c r="CP229" s="29">
        <v>0</v>
      </c>
      <c r="CQ229" s="29">
        <v>0</v>
      </c>
      <c r="CR229" s="29">
        <v>0</v>
      </c>
      <c r="CS229" s="29">
        <v>0</v>
      </c>
      <c r="CT229" s="29">
        <v>0</v>
      </c>
      <c r="CU229" s="361">
        <v>0</v>
      </c>
      <c r="CV229" s="189"/>
    </row>
    <row r="230" spans="1:100" ht="38.25" x14ac:dyDescent="0.2">
      <c r="A230" s="4" t="s">
        <v>1025</v>
      </c>
      <c r="B230" s="366" t="s">
        <v>1118</v>
      </c>
      <c r="C230" s="191"/>
      <c r="D230" s="191"/>
      <c r="E230" s="191"/>
      <c r="F230" s="191"/>
      <c r="G230" s="191"/>
      <c r="H230" s="191"/>
      <c r="I230" s="191"/>
      <c r="J230" s="191"/>
      <c r="K230" s="191"/>
      <c r="L230" s="191"/>
      <c r="M230" s="191"/>
      <c r="N230" s="191"/>
      <c r="O230" s="191"/>
      <c r="P230" s="191"/>
      <c r="Q230" s="191"/>
      <c r="R230" s="191"/>
      <c r="S230" s="191"/>
      <c r="T230" s="191"/>
      <c r="U230" s="191"/>
      <c r="V230" s="191"/>
      <c r="W230" s="191"/>
      <c r="X230" s="191"/>
      <c r="Y230" s="191"/>
      <c r="Z230" s="191"/>
      <c r="AA230" s="191"/>
      <c r="AB230" s="191"/>
      <c r="AC230" s="191"/>
      <c r="AD230" s="191"/>
      <c r="AE230" s="191"/>
      <c r="AF230" s="191"/>
      <c r="AG230" s="191"/>
      <c r="AH230" s="191"/>
      <c r="AI230" s="191"/>
      <c r="AJ230" s="191"/>
      <c r="AK230" s="191"/>
      <c r="AL230" s="191"/>
      <c r="AM230" s="191"/>
      <c r="AN230" s="191"/>
      <c r="AO230" s="191"/>
      <c r="AP230" s="191"/>
      <c r="AQ230" s="191"/>
      <c r="AR230" s="191"/>
      <c r="AS230" s="191"/>
      <c r="AT230" s="191"/>
      <c r="AU230" s="191"/>
      <c r="AV230" s="191"/>
      <c r="AW230" s="191"/>
      <c r="AX230" s="191"/>
      <c r="AY230" s="191"/>
      <c r="AZ230" s="191"/>
      <c r="BA230" s="191"/>
      <c r="BB230" s="191"/>
      <c r="BC230" s="191"/>
      <c r="BD230" s="192"/>
      <c r="BE230" s="191"/>
      <c r="BF230" s="191"/>
      <c r="BG230" s="191"/>
      <c r="BH230" s="191"/>
      <c r="BI230" s="191"/>
      <c r="BJ230" s="191"/>
      <c r="BK230" s="191"/>
      <c r="BL230" s="191"/>
      <c r="BM230" s="191"/>
      <c r="BN230" s="191"/>
      <c r="BO230" s="191"/>
      <c r="BP230" s="191"/>
      <c r="BQ230" s="191"/>
      <c r="BR230" s="191"/>
      <c r="BS230" s="191"/>
      <c r="BT230" s="191"/>
      <c r="BU230" s="191"/>
      <c r="BV230" s="191"/>
      <c r="BW230" s="191"/>
      <c r="BX230" s="191"/>
      <c r="BY230" s="191"/>
      <c r="BZ230" s="191"/>
      <c r="CA230" s="191"/>
      <c r="CB230" s="191"/>
      <c r="CC230" s="191"/>
      <c r="CD230" s="191"/>
      <c r="CE230" s="191"/>
      <c r="CF230" s="191"/>
      <c r="CG230" s="191"/>
      <c r="CH230" s="191"/>
      <c r="CI230" s="191"/>
      <c r="CJ230" s="191"/>
      <c r="CK230" s="191"/>
      <c r="CL230" s="191"/>
      <c r="CM230" s="191"/>
      <c r="CN230" s="191"/>
      <c r="CO230" s="191"/>
      <c r="CP230" s="191"/>
      <c r="CQ230" s="191"/>
      <c r="CR230" s="191"/>
      <c r="CS230" s="191"/>
      <c r="CT230" s="191"/>
      <c r="CU230" s="367"/>
      <c r="CV230" s="189"/>
    </row>
    <row r="231" spans="1:100" ht="38.25" x14ac:dyDescent="0.2">
      <c r="A231" s="4" t="s">
        <v>1025</v>
      </c>
      <c r="B231" s="371" t="s">
        <v>1119</v>
      </c>
      <c r="C231" s="84">
        <f>SUM(D231:DX231)</f>
        <v>5007933.6362601547</v>
      </c>
      <c r="D231" s="29">
        <v>559895.46211456019</v>
      </c>
      <c r="E231" s="29">
        <v>0</v>
      </c>
      <c r="F231" s="29">
        <v>0</v>
      </c>
      <c r="G231" s="29">
        <v>0</v>
      </c>
      <c r="H231" s="29">
        <v>0</v>
      </c>
      <c r="I231" s="29">
        <v>1300000</v>
      </c>
      <c r="J231" s="29">
        <v>0</v>
      </c>
      <c r="K231" s="29">
        <v>0</v>
      </c>
      <c r="L231" s="29">
        <v>0</v>
      </c>
      <c r="M231" s="29">
        <v>0</v>
      </c>
      <c r="N231" s="29">
        <v>0</v>
      </c>
      <c r="O231" s="29">
        <v>0</v>
      </c>
      <c r="P231" s="29">
        <v>0</v>
      </c>
      <c r="Q231" s="29">
        <v>0</v>
      </c>
      <c r="R231" s="29">
        <v>0</v>
      </c>
      <c r="S231" s="29">
        <v>0</v>
      </c>
      <c r="T231" s="29">
        <v>0</v>
      </c>
      <c r="U231" s="29">
        <v>0</v>
      </c>
      <c r="V231" s="29">
        <v>0</v>
      </c>
      <c r="W231" s="29">
        <v>0</v>
      </c>
      <c r="X231" s="29">
        <v>0</v>
      </c>
      <c r="Y231" s="29">
        <v>0</v>
      </c>
      <c r="Z231" s="29">
        <v>0</v>
      </c>
      <c r="AA231" s="29">
        <v>0</v>
      </c>
      <c r="AB231" s="29">
        <v>0</v>
      </c>
      <c r="AC231" s="29">
        <v>0</v>
      </c>
      <c r="AD231" s="29">
        <v>0</v>
      </c>
      <c r="AE231" s="29">
        <v>0</v>
      </c>
      <c r="AF231" s="29">
        <v>0</v>
      </c>
      <c r="AG231" s="29">
        <v>0</v>
      </c>
      <c r="AH231" s="29">
        <v>0</v>
      </c>
      <c r="AI231" s="29">
        <v>0</v>
      </c>
      <c r="AJ231" s="29">
        <v>0</v>
      </c>
      <c r="AK231" s="29">
        <v>0</v>
      </c>
      <c r="AL231" s="29">
        <v>0</v>
      </c>
      <c r="AM231" s="29">
        <v>0</v>
      </c>
      <c r="AN231" s="29">
        <v>0</v>
      </c>
      <c r="AO231" s="29">
        <v>0</v>
      </c>
      <c r="AP231" s="29">
        <v>0</v>
      </c>
      <c r="AQ231" s="29">
        <v>0</v>
      </c>
      <c r="AR231" s="29">
        <v>0</v>
      </c>
      <c r="AS231" s="29">
        <v>0</v>
      </c>
      <c r="AT231" s="29">
        <v>0</v>
      </c>
      <c r="AU231" s="29">
        <v>0</v>
      </c>
      <c r="AV231" s="29">
        <v>0</v>
      </c>
      <c r="AW231" s="29">
        <v>1381273</v>
      </c>
      <c r="AX231" s="29">
        <v>0</v>
      </c>
      <c r="AY231" s="29">
        <v>0</v>
      </c>
      <c r="AZ231" s="29">
        <v>544694.92824634723</v>
      </c>
      <c r="BA231" s="29">
        <v>214588.24589924709</v>
      </c>
      <c r="BB231" s="29">
        <v>484204</v>
      </c>
      <c r="BC231" s="29">
        <v>523278</v>
      </c>
      <c r="BD231" s="180">
        <v>0</v>
      </c>
      <c r="BE231" s="29">
        <v>0</v>
      </c>
      <c r="BF231" s="29">
        <v>0</v>
      </c>
      <c r="BG231" s="29">
        <v>0</v>
      </c>
      <c r="BH231" s="29">
        <v>0</v>
      </c>
      <c r="BI231" s="29">
        <v>0</v>
      </c>
      <c r="BJ231" s="29">
        <v>0</v>
      </c>
      <c r="BK231" s="29">
        <v>0</v>
      </c>
      <c r="BL231" s="29">
        <v>0</v>
      </c>
      <c r="BM231" s="29">
        <v>0</v>
      </c>
      <c r="BN231" s="29">
        <v>0</v>
      </c>
      <c r="BO231" s="29">
        <v>0</v>
      </c>
      <c r="BP231" s="29">
        <v>0</v>
      </c>
      <c r="BQ231" s="29">
        <v>0</v>
      </c>
      <c r="BR231" s="29">
        <v>0</v>
      </c>
      <c r="BS231" s="29">
        <v>0</v>
      </c>
      <c r="BT231" s="29">
        <v>0</v>
      </c>
      <c r="BU231" s="29">
        <v>0</v>
      </c>
      <c r="BV231" s="29">
        <v>0</v>
      </c>
      <c r="BW231" s="29">
        <v>0</v>
      </c>
      <c r="BX231" s="29">
        <v>0</v>
      </c>
      <c r="BY231" s="29">
        <v>0</v>
      </c>
      <c r="BZ231" s="29">
        <v>0</v>
      </c>
      <c r="CA231" s="29">
        <v>0</v>
      </c>
      <c r="CB231" s="29">
        <v>0</v>
      </c>
      <c r="CC231" s="29">
        <v>0</v>
      </c>
      <c r="CD231" s="29">
        <v>0</v>
      </c>
      <c r="CE231" s="29">
        <v>0</v>
      </c>
      <c r="CF231" s="29">
        <v>0</v>
      </c>
      <c r="CG231" s="29">
        <v>0</v>
      </c>
      <c r="CH231" s="29">
        <v>0</v>
      </c>
      <c r="CI231" s="29">
        <v>0</v>
      </c>
      <c r="CJ231" s="29">
        <v>0</v>
      </c>
      <c r="CK231" s="29">
        <v>0</v>
      </c>
      <c r="CL231" s="29">
        <v>0</v>
      </c>
      <c r="CM231" s="29">
        <v>0</v>
      </c>
      <c r="CN231" s="29">
        <v>0</v>
      </c>
      <c r="CO231" s="29">
        <v>0</v>
      </c>
      <c r="CP231" s="29">
        <v>0</v>
      </c>
      <c r="CQ231" s="29">
        <v>0</v>
      </c>
      <c r="CR231" s="29">
        <v>0</v>
      </c>
      <c r="CS231" s="29">
        <v>0</v>
      </c>
      <c r="CT231" s="29">
        <v>0</v>
      </c>
      <c r="CU231" s="361">
        <v>0</v>
      </c>
      <c r="CV231" s="189"/>
    </row>
    <row r="232" spans="1:100" ht="57.75" customHeight="1" x14ac:dyDescent="0.2">
      <c r="A232" s="4" t="s">
        <v>1026</v>
      </c>
      <c r="B232" s="372" t="s">
        <v>1120</v>
      </c>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c r="Y232" s="193"/>
      <c r="Z232" s="193"/>
      <c r="AA232" s="193"/>
      <c r="AB232" s="193"/>
      <c r="AC232" s="193"/>
      <c r="AD232" s="193"/>
      <c r="AE232" s="193"/>
      <c r="AF232" s="193"/>
      <c r="AG232" s="193"/>
      <c r="AH232" s="193"/>
      <c r="AI232" s="193"/>
      <c r="AJ232" s="193"/>
      <c r="AK232" s="193"/>
      <c r="AL232" s="193"/>
      <c r="AM232" s="193"/>
      <c r="AN232" s="193"/>
      <c r="AO232" s="193"/>
      <c r="AP232" s="193"/>
      <c r="AQ232" s="193"/>
      <c r="AR232" s="193"/>
      <c r="AS232" s="193"/>
      <c r="AT232" s="193"/>
      <c r="AU232" s="193"/>
      <c r="AV232" s="193"/>
      <c r="AW232" s="193"/>
      <c r="AX232" s="193"/>
      <c r="AY232" s="193"/>
      <c r="AZ232" s="193"/>
      <c r="BA232" s="193"/>
      <c r="BB232" s="193"/>
      <c r="BC232" s="193"/>
      <c r="BD232" s="194"/>
      <c r="BE232" s="193"/>
      <c r="BF232" s="193"/>
      <c r="BG232" s="193"/>
      <c r="BH232" s="193"/>
      <c r="BI232" s="193"/>
      <c r="BJ232" s="193"/>
      <c r="BK232" s="193"/>
      <c r="BL232" s="193"/>
      <c r="BM232" s="193"/>
      <c r="BN232" s="193"/>
      <c r="BO232" s="193"/>
      <c r="BP232" s="193"/>
      <c r="BQ232" s="193"/>
      <c r="BR232" s="193"/>
      <c r="BS232" s="193"/>
      <c r="BT232" s="193"/>
      <c r="BU232" s="193"/>
      <c r="BV232" s="193"/>
      <c r="BW232" s="193"/>
      <c r="BX232" s="193"/>
      <c r="BY232" s="193"/>
      <c r="BZ232" s="193"/>
      <c r="CA232" s="193"/>
      <c r="CB232" s="193"/>
      <c r="CC232" s="193"/>
      <c r="CD232" s="193"/>
      <c r="CE232" s="193"/>
      <c r="CF232" s="193"/>
      <c r="CG232" s="193"/>
      <c r="CH232" s="193"/>
      <c r="CI232" s="193"/>
      <c r="CJ232" s="193"/>
      <c r="CK232" s="193"/>
      <c r="CL232" s="193"/>
      <c r="CM232" s="193"/>
      <c r="CN232" s="193"/>
      <c r="CO232" s="193"/>
      <c r="CP232" s="193"/>
      <c r="CQ232" s="193"/>
      <c r="CR232" s="193"/>
      <c r="CS232" s="193"/>
      <c r="CT232" s="193"/>
      <c r="CU232" s="365"/>
      <c r="CV232" s="189"/>
    </row>
    <row r="233" spans="1:100" ht="38.25" x14ac:dyDescent="0.2">
      <c r="A233" s="4" t="s">
        <v>1026</v>
      </c>
      <c r="B233" s="366" t="s">
        <v>1121</v>
      </c>
      <c r="C233" s="191"/>
      <c r="D233" s="191"/>
      <c r="E233" s="191"/>
      <c r="F233" s="191"/>
      <c r="G233" s="191"/>
      <c r="H233" s="191"/>
      <c r="I233" s="191"/>
      <c r="J233" s="191"/>
      <c r="K233" s="191"/>
      <c r="L233" s="191"/>
      <c r="M233" s="191"/>
      <c r="N233" s="191"/>
      <c r="O233" s="191"/>
      <c r="P233" s="191"/>
      <c r="Q233" s="191"/>
      <c r="R233" s="191"/>
      <c r="S233" s="191"/>
      <c r="T233" s="191"/>
      <c r="U233" s="191"/>
      <c r="V233" s="191"/>
      <c r="W233" s="191"/>
      <c r="X233" s="191"/>
      <c r="Y233" s="191"/>
      <c r="Z233" s="191"/>
      <c r="AA233" s="191"/>
      <c r="AB233" s="191"/>
      <c r="AC233" s="191"/>
      <c r="AD233" s="191"/>
      <c r="AE233" s="191"/>
      <c r="AF233" s="191"/>
      <c r="AG233" s="191"/>
      <c r="AH233" s="191"/>
      <c r="AI233" s="191"/>
      <c r="AJ233" s="191"/>
      <c r="AK233" s="191"/>
      <c r="AL233" s="191"/>
      <c r="AM233" s="191"/>
      <c r="AN233" s="191"/>
      <c r="AO233" s="191"/>
      <c r="AP233" s="191"/>
      <c r="AQ233" s="191"/>
      <c r="AR233" s="191"/>
      <c r="AS233" s="191"/>
      <c r="AT233" s="191"/>
      <c r="AU233" s="191"/>
      <c r="AV233" s="191"/>
      <c r="AW233" s="191"/>
      <c r="AX233" s="191"/>
      <c r="AY233" s="191"/>
      <c r="AZ233" s="191"/>
      <c r="BA233" s="191"/>
      <c r="BB233" s="191"/>
      <c r="BC233" s="191"/>
      <c r="BD233" s="192"/>
      <c r="BE233" s="191"/>
      <c r="BF233" s="191"/>
      <c r="BG233" s="191"/>
      <c r="BH233" s="191"/>
      <c r="BI233" s="191"/>
      <c r="BJ233" s="191"/>
      <c r="BK233" s="191"/>
      <c r="BL233" s="191"/>
      <c r="BM233" s="191"/>
      <c r="BN233" s="191"/>
      <c r="BO233" s="191"/>
      <c r="BP233" s="191"/>
      <c r="BQ233" s="191"/>
      <c r="BR233" s="191"/>
      <c r="BS233" s="191"/>
      <c r="BT233" s="191"/>
      <c r="BU233" s="191"/>
      <c r="BV233" s="191"/>
      <c r="BW233" s="191"/>
      <c r="BX233" s="191"/>
      <c r="BY233" s="191"/>
      <c r="BZ233" s="191"/>
      <c r="CA233" s="191"/>
      <c r="CB233" s="191"/>
      <c r="CC233" s="191"/>
      <c r="CD233" s="191"/>
      <c r="CE233" s="191"/>
      <c r="CF233" s="191"/>
      <c r="CG233" s="191"/>
      <c r="CH233" s="191"/>
      <c r="CI233" s="191"/>
      <c r="CJ233" s="191"/>
      <c r="CK233" s="191"/>
      <c r="CL233" s="191"/>
      <c r="CM233" s="191"/>
      <c r="CN233" s="191"/>
      <c r="CO233" s="191"/>
      <c r="CP233" s="191"/>
      <c r="CQ233" s="191"/>
      <c r="CR233" s="191"/>
      <c r="CS233" s="191"/>
      <c r="CT233" s="191"/>
      <c r="CU233" s="367"/>
      <c r="CV233" s="189"/>
    </row>
    <row r="234" spans="1:100" ht="38.25" x14ac:dyDescent="0.2">
      <c r="A234" s="4" t="s">
        <v>1026</v>
      </c>
      <c r="B234" s="371" t="s">
        <v>1122</v>
      </c>
      <c r="C234" s="84">
        <f>SUM(D234:DX234)</f>
        <v>5354473.0199999996</v>
      </c>
      <c r="D234" s="29">
        <f>68221-10947+4051.21</f>
        <v>61325.21</v>
      </c>
      <c r="E234" s="29">
        <v>0</v>
      </c>
      <c r="F234" s="29">
        <v>0</v>
      </c>
      <c r="G234" s="29">
        <f>1565000+930577+528524-25000-100000</f>
        <v>2899101</v>
      </c>
      <c r="H234" s="29">
        <v>0</v>
      </c>
      <c r="I234" s="29">
        <v>0</v>
      </c>
      <c r="J234" s="29">
        <v>0</v>
      </c>
      <c r="K234" s="29">
        <v>0</v>
      </c>
      <c r="L234" s="29">
        <v>0</v>
      </c>
      <c r="M234" s="29">
        <v>0</v>
      </c>
      <c r="N234" s="29">
        <f>75720+186532+475000+21897.81</f>
        <v>759149.81</v>
      </c>
      <c r="O234" s="29">
        <v>0</v>
      </c>
      <c r="P234" s="29">
        <v>0</v>
      </c>
      <c r="Q234" s="29">
        <v>0</v>
      </c>
      <c r="R234" s="29">
        <v>0</v>
      </c>
      <c r="S234" s="29">
        <v>0</v>
      </c>
      <c r="T234" s="29">
        <v>0</v>
      </c>
      <c r="U234" s="29">
        <v>0</v>
      </c>
      <c r="V234" s="29">
        <v>0</v>
      </c>
      <c r="W234" s="29">
        <v>0</v>
      </c>
      <c r="X234" s="29">
        <v>0</v>
      </c>
      <c r="Y234" s="29">
        <v>0</v>
      </c>
      <c r="Z234" s="29">
        <v>0</v>
      </c>
      <c r="AA234" s="29">
        <v>0</v>
      </c>
      <c r="AB234" s="29">
        <v>0</v>
      </c>
      <c r="AC234" s="29">
        <v>0</v>
      </c>
      <c r="AD234" s="29">
        <v>0</v>
      </c>
      <c r="AE234" s="29">
        <v>0</v>
      </c>
      <c r="AF234" s="29">
        <v>0</v>
      </c>
      <c r="AG234" s="29">
        <v>0</v>
      </c>
      <c r="AH234" s="29">
        <v>0</v>
      </c>
      <c r="AI234" s="29">
        <v>0</v>
      </c>
      <c r="AJ234" s="29">
        <v>0</v>
      </c>
      <c r="AK234" s="29">
        <v>0</v>
      </c>
      <c r="AL234" s="29">
        <v>0</v>
      </c>
      <c r="AM234" s="29">
        <v>0</v>
      </c>
      <c r="AN234" s="29">
        <v>0</v>
      </c>
      <c r="AO234" s="29">
        <v>0</v>
      </c>
      <c r="AP234" s="29">
        <v>0</v>
      </c>
      <c r="AQ234" s="29">
        <v>0</v>
      </c>
      <c r="AR234" s="29">
        <v>0</v>
      </c>
      <c r="AS234" s="29">
        <v>0</v>
      </c>
      <c r="AT234" s="29">
        <v>0</v>
      </c>
      <c r="AU234" s="29">
        <v>0</v>
      </c>
      <c r="AV234" s="29">
        <v>0</v>
      </c>
      <c r="AW234" s="29">
        <v>0</v>
      </c>
      <c r="AX234" s="29">
        <v>0</v>
      </c>
      <c r="AY234" s="29">
        <v>0</v>
      </c>
      <c r="AZ234" s="29">
        <v>0</v>
      </c>
      <c r="BA234" s="29">
        <v>0</v>
      </c>
      <c r="BB234" s="29">
        <v>0</v>
      </c>
      <c r="BC234" s="29">
        <v>0</v>
      </c>
      <c r="BD234" s="180">
        <f>320000+22000+18594</f>
        <v>360594</v>
      </c>
      <c r="BE234" s="29">
        <v>0</v>
      </c>
      <c r="BF234" s="29">
        <v>106362</v>
      </c>
      <c r="BG234" s="29">
        <v>0</v>
      </c>
      <c r="BH234" s="29">
        <v>50000</v>
      </c>
      <c r="BI234" s="29">
        <v>0</v>
      </c>
      <c r="BJ234" s="29">
        <v>137500</v>
      </c>
      <c r="BK234" s="29">
        <v>0</v>
      </c>
      <c r="BL234" s="29">
        <v>0</v>
      </c>
      <c r="BM234" s="29">
        <v>0</v>
      </c>
      <c r="BN234" s="29">
        <v>0</v>
      </c>
      <c r="BO234" s="29">
        <v>0</v>
      </c>
      <c r="BP234" s="29">
        <v>0</v>
      </c>
      <c r="BQ234" s="29">
        <v>0</v>
      </c>
      <c r="BR234" s="29">
        <v>0</v>
      </c>
      <c r="BS234" s="29">
        <v>0</v>
      </c>
      <c r="BT234" s="29">
        <v>0</v>
      </c>
      <c r="BU234" s="29">
        <v>0</v>
      </c>
      <c r="BV234" s="29">
        <v>0</v>
      </c>
      <c r="BW234" s="29">
        <v>143402</v>
      </c>
      <c r="BX234" s="29">
        <v>39420</v>
      </c>
      <c r="BY234" s="29">
        <v>0</v>
      </c>
      <c r="BZ234" s="29">
        <v>0</v>
      </c>
      <c r="CA234" s="29">
        <v>75000</v>
      </c>
      <c r="CB234" s="29">
        <v>210000</v>
      </c>
      <c r="CC234" s="29">
        <v>0</v>
      </c>
      <c r="CD234" s="29">
        <v>0</v>
      </c>
      <c r="CE234" s="29">
        <v>0</v>
      </c>
      <c r="CF234" s="29">
        <v>0</v>
      </c>
      <c r="CG234" s="29">
        <v>0</v>
      </c>
      <c r="CH234" s="29">
        <v>354503</v>
      </c>
      <c r="CI234" s="29">
        <v>0</v>
      </c>
      <c r="CJ234" s="29">
        <v>0</v>
      </c>
      <c r="CK234" s="29">
        <v>99000</v>
      </c>
      <c r="CL234" s="29">
        <v>59116</v>
      </c>
      <c r="CM234" s="29">
        <v>0</v>
      </c>
      <c r="CN234" s="29">
        <v>0</v>
      </c>
      <c r="CO234" s="29">
        <v>0</v>
      </c>
      <c r="CP234" s="29">
        <v>0</v>
      </c>
      <c r="CQ234" s="29">
        <v>0</v>
      </c>
      <c r="CR234" s="29">
        <v>0</v>
      </c>
      <c r="CS234" s="29">
        <v>0</v>
      </c>
      <c r="CT234" s="29">
        <v>0</v>
      </c>
      <c r="CU234" s="361">
        <v>0</v>
      </c>
      <c r="CV234" s="189"/>
    </row>
    <row r="235" spans="1:100" ht="38.25" x14ac:dyDescent="0.2">
      <c r="A235" s="4" t="s">
        <v>1026</v>
      </c>
      <c r="B235" s="371" t="s">
        <v>1123</v>
      </c>
      <c r="C235" s="84">
        <f>SUM(D235:DX235)</f>
        <v>14965499.430000002</v>
      </c>
      <c r="D235" s="29">
        <f>74833.5+14791</f>
        <v>89624.5</v>
      </c>
      <c r="E235" s="29">
        <f>797511+210000+5018.12+1084988+35000</f>
        <v>2132517.12</v>
      </c>
      <c r="F235" s="29">
        <v>0</v>
      </c>
      <c r="G235" s="29">
        <f>380000+3416012-205928</f>
        <v>3590084</v>
      </c>
      <c r="H235" s="29">
        <f>1323100+5000</f>
        <v>1328100</v>
      </c>
      <c r="I235" s="29">
        <v>881295</v>
      </c>
      <c r="J235" s="29">
        <f>513000+249016</f>
        <v>762016</v>
      </c>
      <c r="K235" s="29">
        <v>0</v>
      </c>
      <c r="L235" s="29">
        <v>0</v>
      </c>
      <c r="M235" s="29">
        <v>0</v>
      </c>
      <c r="N235" s="29">
        <f>989147+93000+21897.81</f>
        <v>1104044.81</v>
      </c>
      <c r="O235" s="29">
        <v>0</v>
      </c>
      <c r="P235" s="29">
        <v>0</v>
      </c>
      <c r="Q235" s="29">
        <v>0</v>
      </c>
      <c r="R235" s="29">
        <v>0</v>
      </c>
      <c r="S235" s="29">
        <v>0</v>
      </c>
      <c r="T235" s="29">
        <v>0</v>
      </c>
      <c r="U235" s="29">
        <v>0</v>
      </c>
      <c r="V235" s="29">
        <v>0</v>
      </c>
      <c r="W235" s="29">
        <v>0</v>
      </c>
      <c r="X235" s="29">
        <v>0</v>
      </c>
      <c r="Y235" s="29">
        <v>0</v>
      </c>
      <c r="Z235" s="29">
        <v>0</v>
      </c>
      <c r="AA235" s="29">
        <v>0</v>
      </c>
      <c r="AB235" s="29">
        <v>0</v>
      </c>
      <c r="AC235" s="29">
        <v>0</v>
      </c>
      <c r="AD235" s="29">
        <v>0</v>
      </c>
      <c r="AE235" s="29">
        <v>0</v>
      </c>
      <c r="AF235" s="29">
        <v>0</v>
      </c>
      <c r="AG235" s="29">
        <v>0</v>
      </c>
      <c r="AH235" s="29">
        <v>0</v>
      </c>
      <c r="AI235" s="29">
        <v>0</v>
      </c>
      <c r="AJ235" s="29">
        <v>0</v>
      </c>
      <c r="AK235" s="29">
        <v>0</v>
      </c>
      <c r="AL235" s="29">
        <v>0</v>
      </c>
      <c r="AM235" s="29">
        <v>0</v>
      </c>
      <c r="AN235" s="29">
        <v>0</v>
      </c>
      <c r="AO235" s="29">
        <v>0</v>
      </c>
      <c r="AP235" s="29">
        <v>0</v>
      </c>
      <c r="AQ235" s="29">
        <v>0</v>
      </c>
      <c r="AR235" s="29">
        <v>0</v>
      </c>
      <c r="AS235" s="29">
        <v>0</v>
      </c>
      <c r="AT235" s="29">
        <v>0</v>
      </c>
      <c r="AU235" s="29">
        <v>0</v>
      </c>
      <c r="AV235" s="29">
        <v>0</v>
      </c>
      <c r="AW235" s="29">
        <v>0</v>
      </c>
      <c r="AX235" s="29">
        <v>0</v>
      </c>
      <c r="AY235" s="29">
        <v>0</v>
      </c>
      <c r="AZ235" s="29">
        <v>0</v>
      </c>
      <c r="BA235" s="29">
        <v>0</v>
      </c>
      <c r="BB235" s="29">
        <v>0</v>
      </c>
      <c r="BC235" s="29">
        <v>0</v>
      </c>
      <c r="BD235" s="180">
        <v>72500</v>
      </c>
      <c r="BE235" s="29">
        <v>0</v>
      </c>
      <c r="BF235" s="29">
        <v>564018</v>
      </c>
      <c r="BG235" s="29">
        <v>1000000</v>
      </c>
      <c r="BH235" s="29">
        <v>0</v>
      </c>
      <c r="BI235" s="29">
        <v>0</v>
      </c>
      <c r="BJ235" s="29">
        <v>880000</v>
      </c>
      <c r="BK235" s="29">
        <v>0</v>
      </c>
      <c r="BL235" s="29">
        <v>0</v>
      </c>
      <c r="BM235" s="29">
        <v>0</v>
      </c>
      <c r="BN235" s="29">
        <v>0</v>
      </c>
      <c r="BO235" s="29">
        <v>0</v>
      </c>
      <c r="BP235" s="29">
        <v>0</v>
      </c>
      <c r="BQ235" s="29">
        <v>0</v>
      </c>
      <c r="BR235" s="29">
        <v>0</v>
      </c>
      <c r="BS235" s="29">
        <v>0</v>
      </c>
      <c r="BT235" s="29">
        <v>0</v>
      </c>
      <c r="BU235" s="29">
        <v>0</v>
      </c>
      <c r="BV235" s="29">
        <v>0</v>
      </c>
      <c r="BW235" s="29">
        <v>760437</v>
      </c>
      <c r="BX235" s="29">
        <v>209038</v>
      </c>
      <c r="BY235" s="29">
        <v>0</v>
      </c>
      <c r="BZ235" s="29">
        <v>0</v>
      </c>
      <c r="CA235" s="29">
        <v>0</v>
      </c>
      <c r="CB235" s="29">
        <v>0</v>
      </c>
      <c r="CC235" s="29"/>
      <c r="CD235" s="29">
        <v>0</v>
      </c>
      <c r="CE235" s="29">
        <v>240000</v>
      </c>
      <c r="CF235" s="29">
        <v>0</v>
      </c>
      <c r="CG235" s="29">
        <v>288500</v>
      </c>
      <c r="CH235" s="29">
        <v>392050</v>
      </c>
      <c r="CI235" s="29">
        <v>671275</v>
      </c>
      <c r="CJ235" s="29">
        <v>0</v>
      </c>
      <c r="CK235" s="29">
        <v>0</v>
      </c>
      <c r="CL235" s="29">
        <v>0</v>
      </c>
      <c r="CM235" s="29">
        <v>0</v>
      </c>
      <c r="CN235" s="29">
        <v>0</v>
      </c>
      <c r="CO235" s="29">
        <v>0</v>
      </c>
      <c r="CP235" s="29">
        <v>0</v>
      </c>
      <c r="CQ235" s="29">
        <v>0</v>
      </c>
      <c r="CR235" s="29">
        <v>0</v>
      </c>
      <c r="CS235" s="29">
        <v>0</v>
      </c>
      <c r="CT235" s="29">
        <v>0</v>
      </c>
      <c r="CU235" s="361">
        <v>0</v>
      </c>
      <c r="CV235" s="189"/>
    </row>
    <row r="236" spans="1:100" ht="38.25" x14ac:dyDescent="0.2">
      <c r="A236" s="4" t="s">
        <v>1026</v>
      </c>
      <c r="B236" s="371" t="s">
        <v>1124</v>
      </c>
      <c r="C236" s="84">
        <f>SUM(D236:DX236)</f>
        <v>1275072.21</v>
      </c>
      <c r="D236" s="29">
        <f>28979+4051.21</f>
        <v>33030.21</v>
      </c>
      <c r="E236" s="29">
        <v>0</v>
      </c>
      <c r="F236" s="29">
        <v>0</v>
      </c>
      <c r="G236" s="29">
        <f>420000+43784+244832</f>
        <v>708616</v>
      </c>
      <c r="H236" s="29">
        <v>0</v>
      </c>
      <c r="I236" s="29">
        <v>0</v>
      </c>
      <c r="J236" s="29">
        <v>0</v>
      </c>
      <c r="K236" s="29">
        <v>0</v>
      </c>
      <c r="L236" s="29">
        <v>0</v>
      </c>
      <c r="M236" s="29">
        <v>0</v>
      </c>
      <c r="N236" s="29">
        <f>49306+9807+54000</f>
        <v>113113</v>
      </c>
      <c r="O236" s="29">
        <v>0</v>
      </c>
      <c r="P236" s="29">
        <v>0</v>
      </c>
      <c r="Q236" s="29">
        <v>0</v>
      </c>
      <c r="R236" s="29">
        <v>0</v>
      </c>
      <c r="S236" s="29">
        <v>0</v>
      </c>
      <c r="T236" s="29">
        <v>0</v>
      </c>
      <c r="U236" s="29">
        <v>0</v>
      </c>
      <c r="V236" s="29">
        <v>0</v>
      </c>
      <c r="W236" s="29">
        <v>0</v>
      </c>
      <c r="X236" s="29">
        <v>0</v>
      </c>
      <c r="Y236" s="29">
        <v>0</v>
      </c>
      <c r="Z236" s="29">
        <v>0</v>
      </c>
      <c r="AA236" s="29">
        <v>0</v>
      </c>
      <c r="AB236" s="29">
        <v>0</v>
      </c>
      <c r="AC236" s="29">
        <v>0</v>
      </c>
      <c r="AD236" s="29">
        <v>0</v>
      </c>
      <c r="AE236" s="29">
        <v>0</v>
      </c>
      <c r="AF236" s="29">
        <v>0</v>
      </c>
      <c r="AG236" s="29">
        <v>0</v>
      </c>
      <c r="AH236" s="29">
        <v>0</v>
      </c>
      <c r="AI236" s="29">
        <v>0</v>
      </c>
      <c r="AJ236" s="29">
        <v>0</v>
      </c>
      <c r="AK236" s="29">
        <v>0</v>
      </c>
      <c r="AL236" s="29">
        <v>0</v>
      </c>
      <c r="AM236" s="29">
        <v>0</v>
      </c>
      <c r="AN236" s="29">
        <v>0</v>
      </c>
      <c r="AO236" s="29">
        <v>0</v>
      </c>
      <c r="AP236" s="29">
        <v>0</v>
      </c>
      <c r="AQ236" s="29">
        <v>0</v>
      </c>
      <c r="AR236" s="29">
        <v>0</v>
      </c>
      <c r="AS236" s="29">
        <v>0</v>
      </c>
      <c r="AT236" s="29">
        <v>0</v>
      </c>
      <c r="AU236" s="29">
        <v>0</v>
      </c>
      <c r="AV236" s="29">
        <v>0</v>
      </c>
      <c r="AW236" s="29">
        <v>0</v>
      </c>
      <c r="AX236" s="29">
        <v>0</v>
      </c>
      <c r="AY236" s="29">
        <v>0</v>
      </c>
      <c r="AZ236" s="29">
        <v>0</v>
      </c>
      <c r="BA236" s="29">
        <v>0</v>
      </c>
      <c r="BB236" s="29">
        <v>0</v>
      </c>
      <c r="BC236" s="29">
        <v>0</v>
      </c>
      <c r="BD236" s="180">
        <f>88000+12108</f>
        <v>100108</v>
      </c>
      <c r="BE236" s="29">
        <v>0</v>
      </c>
      <c r="BF236" s="29">
        <v>5592</v>
      </c>
      <c r="BG236" s="29">
        <v>0</v>
      </c>
      <c r="BH236" s="29">
        <v>0</v>
      </c>
      <c r="BI236" s="29">
        <v>0</v>
      </c>
      <c r="BJ236" s="29">
        <v>0</v>
      </c>
      <c r="BK236" s="29">
        <v>0</v>
      </c>
      <c r="BL236" s="29">
        <v>0</v>
      </c>
      <c r="BM236" s="29">
        <v>0</v>
      </c>
      <c r="BN236" s="29">
        <v>0</v>
      </c>
      <c r="BO236" s="29">
        <v>0</v>
      </c>
      <c r="BP236" s="29">
        <v>0</v>
      </c>
      <c r="BQ236" s="29">
        <v>0</v>
      </c>
      <c r="BR236" s="29">
        <v>0</v>
      </c>
      <c r="BS236" s="29">
        <v>0</v>
      </c>
      <c r="BT236" s="29">
        <v>0</v>
      </c>
      <c r="BU236" s="29">
        <v>0</v>
      </c>
      <c r="BV236" s="29">
        <v>0</v>
      </c>
      <c r="BW236" s="29">
        <v>7540</v>
      </c>
      <c r="BX236" s="29">
        <f>175000+2073</f>
        <v>177073</v>
      </c>
      <c r="BY236" s="29">
        <v>0</v>
      </c>
      <c r="BZ236" s="29">
        <v>0</v>
      </c>
      <c r="CA236" s="29">
        <v>0</v>
      </c>
      <c r="CB236" s="29">
        <v>0</v>
      </c>
      <c r="CC236" s="29">
        <v>0</v>
      </c>
      <c r="CD236" s="29">
        <v>0</v>
      </c>
      <c r="CE236" s="29">
        <v>0</v>
      </c>
      <c r="CF236" s="29">
        <v>130000</v>
      </c>
      <c r="CG236" s="29">
        <v>0</v>
      </c>
      <c r="CH236" s="29">
        <v>0</v>
      </c>
      <c r="CI236" s="29">
        <v>0</v>
      </c>
      <c r="CJ236" s="29">
        <v>0</v>
      </c>
      <c r="CK236" s="29">
        <v>0</v>
      </c>
      <c r="CL236" s="29">
        <v>0</v>
      </c>
      <c r="CM236" s="29">
        <v>0</v>
      </c>
      <c r="CN236" s="29">
        <v>0</v>
      </c>
      <c r="CO236" s="29">
        <v>0</v>
      </c>
      <c r="CP236" s="29">
        <v>0</v>
      </c>
      <c r="CQ236" s="29">
        <v>0</v>
      </c>
      <c r="CR236" s="29">
        <v>0</v>
      </c>
      <c r="CS236" s="29">
        <v>0</v>
      </c>
      <c r="CT236" s="29">
        <v>0</v>
      </c>
      <c r="CU236" s="361">
        <v>0</v>
      </c>
      <c r="CV236" s="189"/>
    </row>
    <row r="237" spans="1:100" ht="38.25" x14ac:dyDescent="0.2">
      <c r="A237" s="4" t="s">
        <v>1026</v>
      </c>
      <c r="B237" s="371" t="s">
        <v>1125</v>
      </c>
      <c r="C237" s="84">
        <f>SUM(D237:DX237)</f>
        <v>3457529.51</v>
      </c>
      <c r="D237" s="29">
        <v>23545</v>
      </c>
      <c r="E237" s="29">
        <v>0</v>
      </c>
      <c r="F237" s="29">
        <v>0</v>
      </c>
      <c r="G237" s="29">
        <f>275000+1239075+229996-100000</f>
        <v>1644071</v>
      </c>
      <c r="H237" s="29">
        <v>0</v>
      </c>
      <c r="I237" s="29">
        <v>0</v>
      </c>
      <c r="J237" s="29">
        <v>737050.51</v>
      </c>
      <c r="K237" s="29">
        <v>0</v>
      </c>
      <c r="L237" s="29">
        <v>0</v>
      </c>
      <c r="M237" s="29">
        <v>0</v>
      </c>
      <c r="N237" s="29">
        <f>51067+277542+61000</f>
        <v>389609</v>
      </c>
      <c r="O237" s="29">
        <v>0</v>
      </c>
      <c r="P237" s="29">
        <v>0</v>
      </c>
      <c r="Q237" s="29">
        <v>0</v>
      </c>
      <c r="R237" s="29">
        <v>0</v>
      </c>
      <c r="S237" s="29">
        <v>0</v>
      </c>
      <c r="T237" s="29">
        <v>0</v>
      </c>
      <c r="U237" s="29">
        <v>0</v>
      </c>
      <c r="V237" s="29">
        <v>0</v>
      </c>
      <c r="W237" s="29">
        <v>0</v>
      </c>
      <c r="X237" s="29">
        <v>0</v>
      </c>
      <c r="Y237" s="29">
        <v>0</v>
      </c>
      <c r="Z237" s="29">
        <v>0</v>
      </c>
      <c r="AA237" s="29">
        <v>0</v>
      </c>
      <c r="AB237" s="29">
        <v>0</v>
      </c>
      <c r="AC237" s="29">
        <v>0</v>
      </c>
      <c r="AD237" s="29">
        <v>0</v>
      </c>
      <c r="AE237" s="29">
        <v>0</v>
      </c>
      <c r="AF237" s="29">
        <v>0</v>
      </c>
      <c r="AG237" s="29">
        <v>0</v>
      </c>
      <c r="AH237" s="29">
        <v>0</v>
      </c>
      <c r="AI237" s="29">
        <v>0</v>
      </c>
      <c r="AJ237" s="29">
        <v>0</v>
      </c>
      <c r="AK237" s="29">
        <v>0</v>
      </c>
      <c r="AL237" s="29">
        <v>0</v>
      </c>
      <c r="AM237" s="29">
        <v>0</v>
      </c>
      <c r="AN237" s="29">
        <v>0</v>
      </c>
      <c r="AO237" s="29">
        <v>0</v>
      </c>
      <c r="AP237" s="29">
        <v>0</v>
      </c>
      <c r="AQ237" s="29">
        <v>0</v>
      </c>
      <c r="AR237" s="29">
        <v>0</v>
      </c>
      <c r="AS237" s="29">
        <v>0</v>
      </c>
      <c r="AT237" s="29">
        <v>0</v>
      </c>
      <c r="AU237" s="29">
        <v>0</v>
      </c>
      <c r="AV237" s="29">
        <v>0</v>
      </c>
      <c r="AW237" s="29">
        <v>0</v>
      </c>
      <c r="AX237" s="29">
        <v>0</v>
      </c>
      <c r="AY237" s="29">
        <v>0</v>
      </c>
      <c r="AZ237" s="29">
        <v>0</v>
      </c>
      <c r="BA237" s="29">
        <v>0</v>
      </c>
      <c r="BB237" s="29">
        <v>0</v>
      </c>
      <c r="BC237" s="29">
        <v>0</v>
      </c>
      <c r="BD237" s="180">
        <v>12540</v>
      </c>
      <c r="BE237" s="29">
        <v>0</v>
      </c>
      <c r="BF237" s="29">
        <v>158256</v>
      </c>
      <c r="BG237" s="29">
        <v>0</v>
      </c>
      <c r="BH237" s="29">
        <v>0</v>
      </c>
      <c r="BI237" s="29">
        <v>0</v>
      </c>
      <c r="BJ237" s="29">
        <v>82500</v>
      </c>
      <c r="BK237" s="29">
        <v>0</v>
      </c>
      <c r="BL237" s="29">
        <v>0</v>
      </c>
      <c r="BM237" s="29">
        <v>0</v>
      </c>
      <c r="BN237" s="29">
        <v>0</v>
      </c>
      <c r="BO237" s="29">
        <v>0</v>
      </c>
      <c r="BP237" s="29">
        <v>0</v>
      </c>
      <c r="BQ237" s="29">
        <v>0</v>
      </c>
      <c r="BR237" s="29">
        <v>0</v>
      </c>
      <c r="BS237" s="29">
        <v>0</v>
      </c>
      <c r="BT237" s="29">
        <v>0</v>
      </c>
      <c r="BU237" s="29">
        <v>0</v>
      </c>
      <c r="BV237" s="29">
        <v>0</v>
      </c>
      <c r="BW237" s="29">
        <v>213369</v>
      </c>
      <c r="BX237" s="29">
        <v>58653</v>
      </c>
      <c r="BY237" s="29">
        <v>0</v>
      </c>
      <c r="BZ237" s="29">
        <v>0</v>
      </c>
      <c r="CA237" s="29">
        <v>0</v>
      </c>
      <c r="CB237" s="29">
        <v>0</v>
      </c>
      <c r="CC237" s="29">
        <v>0</v>
      </c>
      <c r="CD237" s="29">
        <v>0</v>
      </c>
      <c r="CE237" s="29">
        <v>0</v>
      </c>
      <c r="CF237" s="29">
        <v>0</v>
      </c>
      <c r="CG237" s="29">
        <v>0</v>
      </c>
      <c r="CH237" s="29">
        <v>0</v>
      </c>
      <c r="CI237" s="29">
        <v>0</v>
      </c>
      <c r="CJ237" s="29">
        <v>0</v>
      </c>
      <c r="CK237" s="29">
        <v>0</v>
      </c>
      <c r="CL237" s="29">
        <v>137936</v>
      </c>
      <c r="CM237" s="29">
        <v>0</v>
      </c>
      <c r="CN237" s="29">
        <v>0</v>
      </c>
      <c r="CO237" s="29">
        <v>0</v>
      </c>
      <c r="CP237" s="29">
        <v>0</v>
      </c>
      <c r="CQ237" s="29">
        <v>0</v>
      </c>
      <c r="CR237" s="29">
        <v>0</v>
      </c>
      <c r="CS237" s="29">
        <v>0</v>
      </c>
      <c r="CT237" s="29">
        <v>0</v>
      </c>
      <c r="CU237" s="361">
        <v>0</v>
      </c>
      <c r="CV237" s="189"/>
    </row>
    <row r="238" spans="1:100" ht="38.25" x14ac:dyDescent="0.2">
      <c r="A238" s="4" t="s">
        <v>1026</v>
      </c>
      <c r="B238" s="366" t="s">
        <v>1126</v>
      </c>
      <c r="C238" s="191"/>
      <c r="D238" s="191"/>
      <c r="E238" s="191"/>
      <c r="F238" s="191"/>
      <c r="G238" s="191"/>
      <c r="H238" s="191"/>
      <c r="I238" s="191"/>
      <c r="J238" s="191"/>
      <c r="K238" s="191"/>
      <c r="L238" s="191"/>
      <c r="M238" s="191"/>
      <c r="N238" s="191"/>
      <c r="O238" s="191"/>
      <c r="P238" s="191"/>
      <c r="Q238" s="191"/>
      <c r="R238" s="191"/>
      <c r="S238" s="191"/>
      <c r="T238" s="191"/>
      <c r="U238" s="191"/>
      <c r="V238" s="191"/>
      <c r="W238" s="191"/>
      <c r="X238" s="191"/>
      <c r="Y238" s="191"/>
      <c r="Z238" s="191"/>
      <c r="AA238" s="191"/>
      <c r="AB238" s="191"/>
      <c r="AC238" s="191"/>
      <c r="AD238" s="191"/>
      <c r="AE238" s="191"/>
      <c r="AF238" s="191"/>
      <c r="AG238" s="191"/>
      <c r="AH238" s="191"/>
      <c r="AI238" s="191"/>
      <c r="AJ238" s="191"/>
      <c r="AK238" s="191"/>
      <c r="AL238" s="191"/>
      <c r="AM238" s="191"/>
      <c r="AN238" s="191"/>
      <c r="AO238" s="191"/>
      <c r="AP238" s="191"/>
      <c r="AQ238" s="191"/>
      <c r="AR238" s="191"/>
      <c r="AS238" s="191"/>
      <c r="AT238" s="191"/>
      <c r="AU238" s="191"/>
      <c r="AV238" s="191"/>
      <c r="AW238" s="191"/>
      <c r="AX238" s="191"/>
      <c r="AY238" s="191"/>
      <c r="AZ238" s="191"/>
      <c r="BA238" s="191"/>
      <c r="BB238" s="191"/>
      <c r="BC238" s="191"/>
      <c r="BD238" s="192"/>
      <c r="BE238" s="191"/>
      <c r="BF238" s="191"/>
      <c r="BG238" s="191"/>
      <c r="BH238" s="191"/>
      <c r="BI238" s="191"/>
      <c r="BJ238" s="191"/>
      <c r="BK238" s="191"/>
      <c r="BL238" s="191"/>
      <c r="BM238" s="191"/>
      <c r="BN238" s="191"/>
      <c r="BO238" s="191"/>
      <c r="BP238" s="191"/>
      <c r="BQ238" s="191"/>
      <c r="BR238" s="191"/>
      <c r="BS238" s="191"/>
      <c r="BT238" s="191"/>
      <c r="BU238" s="191"/>
      <c r="BV238" s="191"/>
      <c r="BW238" s="191"/>
      <c r="BX238" s="191"/>
      <c r="BY238" s="191"/>
      <c r="BZ238" s="191"/>
      <c r="CA238" s="191"/>
      <c r="CB238" s="191"/>
      <c r="CC238" s="191"/>
      <c r="CD238" s="191"/>
      <c r="CE238" s="191"/>
      <c r="CF238" s="191"/>
      <c r="CG238" s="191"/>
      <c r="CH238" s="191"/>
      <c r="CI238" s="191"/>
      <c r="CJ238" s="191"/>
      <c r="CK238" s="191"/>
      <c r="CL238" s="191"/>
      <c r="CM238" s="191"/>
      <c r="CN238" s="191"/>
      <c r="CO238" s="191"/>
      <c r="CP238" s="191"/>
      <c r="CQ238" s="191"/>
      <c r="CR238" s="191"/>
      <c r="CS238" s="191"/>
      <c r="CT238" s="191"/>
      <c r="CU238" s="367"/>
      <c r="CV238" s="189"/>
    </row>
    <row r="239" spans="1:100" ht="38.25" x14ac:dyDescent="0.2">
      <c r="A239" s="4" t="s">
        <v>1026</v>
      </c>
      <c r="B239" s="371" t="s">
        <v>1127</v>
      </c>
      <c r="C239" s="84">
        <f>SUM(D239:DX239)</f>
        <v>2749327.79</v>
      </c>
      <c r="D239" s="29">
        <v>150000</v>
      </c>
      <c r="E239" s="29">
        <v>525000</v>
      </c>
      <c r="F239" s="29">
        <v>0</v>
      </c>
      <c r="G239" s="29">
        <v>615000</v>
      </c>
      <c r="H239" s="29">
        <v>0</v>
      </c>
      <c r="I239" s="29">
        <f>800000+8512.48</f>
        <v>808512.48</v>
      </c>
      <c r="J239" s="29">
        <v>51417.5</v>
      </c>
      <c r="K239" s="29">
        <v>0</v>
      </c>
      <c r="L239" s="29">
        <v>0</v>
      </c>
      <c r="M239" s="29">
        <v>0</v>
      </c>
      <c r="N239" s="29">
        <f>465000+21897.81</f>
        <v>486897.81</v>
      </c>
      <c r="O239" s="29">
        <v>0</v>
      </c>
      <c r="P239" s="29">
        <v>0</v>
      </c>
      <c r="Q239" s="29">
        <v>0</v>
      </c>
      <c r="R239" s="29">
        <v>0</v>
      </c>
      <c r="S239" s="29">
        <v>0</v>
      </c>
      <c r="T239" s="29">
        <v>0</v>
      </c>
      <c r="U239" s="29">
        <v>0</v>
      </c>
      <c r="V239" s="29">
        <v>0</v>
      </c>
      <c r="W239" s="29">
        <v>0</v>
      </c>
      <c r="X239" s="29">
        <v>0</v>
      </c>
      <c r="Y239" s="29">
        <v>0</v>
      </c>
      <c r="Z239" s="29">
        <v>0</v>
      </c>
      <c r="AA239" s="29">
        <v>0</v>
      </c>
      <c r="AB239" s="29">
        <v>0</v>
      </c>
      <c r="AC239" s="29">
        <v>0</v>
      </c>
      <c r="AD239" s="29">
        <v>0</v>
      </c>
      <c r="AE239" s="29">
        <v>0</v>
      </c>
      <c r="AF239" s="29">
        <v>0</v>
      </c>
      <c r="AG239" s="29">
        <v>0</v>
      </c>
      <c r="AH239" s="29">
        <v>0</v>
      </c>
      <c r="AI239" s="29">
        <v>0</v>
      </c>
      <c r="AJ239" s="29">
        <v>0</v>
      </c>
      <c r="AK239" s="29">
        <v>0</v>
      </c>
      <c r="AL239" s="29">
        <v>0</v>
      </c>
      <c r="AM239" s="29">
        <v>0</v>
      </c>
      <c r="AN239" s="29">
        <v>0</v>
      </c>
      <c r="AO239" s="29">
        <v>0</v>
      </c>
      <c r="AP239" s="29">
        <v>0</v>
      </c>
      <c r="AQ239" s="29">
        <v>0</v>
      </c>
      <c r="AR239" s="29">
        <v>0</v>
      </c>
      <c r="AS239" s="29">
        <v>0</v>
      </c>
      <c r="AT239" s="29">
        <v>0</v>
      </c>
      <c r="AU239" s="29">
        <v>0</v>
      </c>
      <c r="AV239" s="29">
        <v>0</v>
      </c>
      <c r="AW239" s="29">
        <v>0</v>
      </c>
      <c r="AX239" s="29">
        <v>0</v>
      </c>
      <c r="AY239" s="29">
        <v>0</v>
      </c>
      <c r="AZ239" s="29">
        <v>0</v>
      </c>
      <c r="BA239" s="29">
        <v>0</v>
      </c>
      <c r="BB239" s="29">
        <v>0</v>
      </c>
      <c r="BC239" s="29">
        <v>0</v>
      </c>
      <c r="BD239" s="180">
        <v>0</v>
      </c>
      <c r="BE239" s="29">
        <v>0</v>
      </c>
      <c r="BF239" s="29">
        <v>0</v>
      </c>
      <c r="BG239" s="29">
        <v>0</v>
      </c>
      <c r="BH239" s="29">
        <v>0</v>
      </c>
      <c r="BI239" s="29">
        <v>0</v>
      </c>
      <c r="BJ239" s="29">
        <v>0</v>
      </c>
      <c r="BK239" s="29">
        <v>0</v>
      </c>
      <c r="BL239" s="29">
        <v>0</v>
      </c>
      <c r="BM239" s="29">
        <v>0</v>
      </c>
      <c r="BN239" s="29">
        <v>0</v>
      </c>
      <c r="BO239" s="29">
        <v>0</v>
      </c>
      <c r="BP239" s="29">
        <v>0</v>
      </c>
      <c r="BQ239" s="29">
        <v>0</v>
      </c>
      <c r="BR239" s="29">
        <v>0</v>
      </c>
      <c r="BS239" s="29">
        <v>0</v>
      </c>
      <c r="BT239" s="29">
        <v>0</v>
      </c>
      <c r="BU239" s="29">
        <v>0</v>
      </c>
      <c r="BV239" s="29">
        <v>0</v>
      </c>
      <c r="BW239" s="29">
        <v>0</v>
      </c>
      <c r="BX239" s="29">
        <v>0</v>
      </c>
      <c r="BY239" s="29">
        <v>0</v>
      </c>
      <c r="BZ239" s="29">
        <v>0</v>
      </c>
      <c r="CA239" s="29">
        <v>0</v>
      </c>
      <c r="CB239" s="29">
        <v>0</v>
      </c>
      <c r="CC239" s="29">
        <v>0</v>
      </c>
      <c r="CD239" s="29">
        <v>0</v>
      </c>
      <c r="CE239" s="29">
        <v>0</v>
      </c>
      <c r="CF239" s="29">
        <v>0</v>
      </c>
      <c r="CG239" s="29">
        <v>0</v>
      </c>
      <c r="CH239" s="29">
        <v>0</v>
      </c>
      <c r="CI239" s="29">
        <v>0</v>
      </c>
      <c r="CJ239" s="29">
        <v>0</v>
      </c>
      <c r="CK239" s="29">
        <v>0</v>
      </c>
      <c r="CL239" s="29">
        <v>0</v>
      </c>
      <c r="CM239" s="29">
        <v>50000</v>
      </c>
      <c r="CN239" s="29">
        <v>0</v>
      </c>
      <c r="CO239" s="29">
        <v>0</v>
      </c>
      <c r="CP239" s="29">
        <v>0</v>
      </c>
      <c r="CQ239" s="29">
        <v>0</v>
      </c>
      <c r="CR239" s="29">
        <f>125000/2</f>
        <v>62500</v>
      </c>
      <c r="CS239" s="29">
        <v>0</v>
      </c>
      <c r="CT239" s="29">
        <v>0</v>
      </c>
      <c r="CU239" s="361">
        <v>0</v>
      </c>
      <c r="CV239" s="189"/>
    </row>
    <row r="240" spans="1:100" ht="38.25" x14ac:dyDescent="0.2">
      <c r="A240" s="4" t="s">
        <v>1026</v>
      </c>
      <c r="B240" s="371" t="s">
        <v>1128</v>
      </c>
      <c r="C240" s="84">
        <f>SUM(D240:DX240)</f>
        <v>1614397.81</v>
      </c>
      <c r="D240" s="29">
        <v>150000</v>
      </c>
      <c r="E240" s="29"/>
      <c r="F240" s="29">
        <v>0</v>
      </c>
      <c r="G240" s="29">
        <v>615000</v>
      </c>
      <c r="H240" s="29">
        <v>0</v>
      </c>
      <c r="I240" s="29">
        <v>0</v>
      </c>
      <c r="J240" s="29">
        <v>0</v>
      </c>
      <c r="K240" s="29">
        <v>0</v>
      </c>
      <c r="L240" s="29">
        <v>0</v>
      </c>
      <c r="M240" s="29">
        <v>0</v>
      </c>
      <c r="N240" s="29">
        <f>465000+21897.81</f>
        <v>486897.81</v>
      </c>
      <c r="O240" s="29">
        <v>0</v>
      </c>
      <c r="P240" s="29">
        <v>0</v>
      </c>
      <c r="Q240" s="29">
        <v>0</v>
      </c>
      <c r="R240" s="29">
        <v>0</v>
      </c>
      <c r="S240" s="29">
        <v>0</v>
      </c>
      <c r="T240" s="29">
        <v>0</v>
      </c>
      <c r="U240" s="29">
        <v>0</v>
      </c>
      <c r="V240" s="29">
        <v>0</v>
      </c>
      <c r="W240" s="29">
        <v>0</v>
      </c>
      <c r="X240" s="29">
        <v>0</v>
      </c>
      <c r="Y240" s="29">
        <v>0</v>
      </c>
      <c r="Z240" s="29">
        <v>0</v>
      </c>
      <c r="AA240" s="29">
        <v>0</v>
      </c>
      <c r="AB240" s="29">
        <v>0</v>
      </c>
      <c r="AC240" s="29">
        <v>0</v>
      </c>
      <c r="AD240" s="29">
        <v>0</v>
      </c>
      <c r="AE240" s="29">
        <v>0</v>
      </c>
      <c r="AF240" s="29">
        <v>0</v>
      </c>
      <c r="AG240" s="29">
        <v>0</v>
      </c>
      <c r="AH240" s="29">
        <v>0</v>
      </c>
      <c r="AI240" s="29">
        <v>0</v>
      </c>
      <c r="AJ240" s="29">
        <v>0</v>
      </c>
      <c r="AK240" s="29">
        <v>0</v>
      </c>
      <c r="AL240" s="29">
        <v>0</v>
      </c>
      <c r="AM240" s="29">
        <v>0</v>
      </c>
      <c r="AN240" s="29">
        <v>0</v>
      </c>
      <c r="AO240" s="29">
        <v>0</v>
      </c>
      <c r="AP240" s="29">
        <v>0</v>
      </c>
      <c r="AQ240" s="29">
        <v>0</v>
      </c>
      <c r="AR240" s="29">
        <v>0</v>
      </c>
      <c r="AS240" s="29">
        <v>0</v>
      </c>
      <c r="AT240" s="29">
        <v>0</v>
      </c>
      <c r="AU240" s="29">
        <v>0</v>
      </c>
      <c r="AV240" s="29">
        <v>0</v>
      </c>
      <c r="AW240" s="29">
        <v>0</v>
      </c>
      <c r="AX240" s="29">
        <v>0</v>
      </c>
      <c r="AY240" s="29">
        <v>0</v>
      </c>
      <c r="AZ240" s="29">
        <v>0</v>
      </c>
      <c r="BA240" s="29">
        <v>0</v>
      </c>
      <c r="BB240" s="29">
        <v>0</v>
      </c>
      <c r="BC240" s="29">
        <v>0</v>
      </c>
      <c r="BD240" s="180">
        <v>300000</v>
      </c>
      <c r="BE240" s="29">
        <v>0</v>
      </c>
      <c r="BF240" s="29">
        <v>0</v>
      </c>
      <c r="BG240" s="29">
        <v>0</v>
      </c>
      <c r="BH240" s="29">
        <v>0</v>
      </c>
      <c r="BI240" s="29">
        <v>0</v>
      </c>
      <c r="BJ240" s="29">
        <v>0</v>
      </c>
      <c r="BK240" s="29">
        <v>0</v>
      </c>
      <c r="BL240" s="29">
        <v>0</v>
      </c>
      <c r="BM240" s="29">
        <v>0</v>
      </c>
      <c r="BN240" s="29">
        <v>0</v>
      </c>
      <c r="BO240" s="29">
        <v>0</v>
      </c>
      <c r="BP240" s="29">
        <v>0</v>
      </c>
      <c r="BQ240" s="29">
        <v>0</v>
      </c>
      <c r="BR240" s="29">
        <v>0</v>
      </c>
      <c r="BS240" s="29">
        <v>0</v>
      </c>
      <c r="BT240" s="29">
        <v>0</v>
      </c>
      <c r="BU240" s="29">
        <v>0</v>
      </c>
      <c r="BV240" s="29">
        <v>0</v>
      </c>
      <c r="BW240" s="29">
        <v>0</v>
      </c>
      <c r="BX240" s="29">
        <v>0</v>
      </c>
      <c r="BY240" s="29">
        <v>0</v>
      </c>
      <c r="BZ240" s="29">
        <v>0</v>
      </c>
      <c r="CA240" s="29">
        <v>0</v>
      </c>
      <c r="CB240" s="29">
        <v>0</v>
      </c>
      <c r="CC240" s="29">
        <v>0</v>
      </c>
      <c r="CD240" s="29">
        <v>0</v>
      </c>
      <c r="CE240" s="29">
        <v>0</v>
      </c>
      <c r="CF240" s="29">
        <v>0</v>
      </c>
      <c r="CG240" s="29">
        <v>0</v>
      </c>
      <c r="CH240" s="29">
        <v>0</v>
      </c>
      <c r="CI240" s="29">
        <v>0</v>
      </c>
      <c r="CJ240" s="29">
        <v>0</v>
      </c>
      <c r="CK240" s="29">
        <v>0</v>
      </c>
      <c r="CL240" s="29">
        <v>0</v>
      </c>
      <c r="CM240" s="29">
        <v>0</v>
      </c>
      <c r="CN240" s="29">
        <v>0</v>
      </c>
      <c r="CO240" s="29">
        <v>0</v>
      </c>
      <c r="CP240" s="29">
        <v>0</v>
      </c>
      <c r="CQ240" s="29">
        <v>0</v>
      </c>
      <c r="CR240" s="29">
        <v>62500</v>
      </c>
      <c r="CS240" s="29">
        <v>0</v>
      </c>
      <c r="CT240" s="29">
        <v>0</v>
      </c>
      <c r="CU240" s="361">
        <v>0</v>
      </c>
      <c r="CV240" s="189"/>
    </row>
    <row r="241" spans="1:100" ht="38.25" x14ac:dyDescent="0.2">
      <c r="A241" s="4" t="s">
        <v>1026</v>
      </c>
      <c r="B241" s="366" t="s">
        <v>1129</v>
      </c>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191"/>
      <c r="AG241" s="191"/>
      <c r="AH241" s="191"/>
      <c r="AI241" s="191"/>
      <c r="AJ241" s="191"/>
      <c r="AK241" s="191"/>
      <c r="AL241" s="191"/>
      <c r="AM241" s="191"/>
      <c r="AN241" s="191"/>
      <c r="AO241" s="191"/>
      <c r="AP241" s="191"/>
      <c r="AQ241" s="191"/>
      <c r="AR241" s="191"/>
      <c r="AS241" s="191"/>
      <c r="AT241" s="191"/>
      <c r="AU241" s="191"/>
      <c r="AV241" s="191"/>
      <c r="AW241" s="191"/>
      <c r="AX241" s="191"/>
      <c r="AY241" s="191"/>
      <c r="AZ241" s="191"/>
      <c r="BA241" s="191"/>
      <c r="BB241" s="191"/>
      <c r="BC241" s="191"/>
      <c r="BD241" s="192"/>
      <c r="BE241" s="191"/>
      <c r="BF241" s="191"/>
      <c r="BG241" s="191"/>
      <c r="BH241" s="191"/>
      <c r="BI241" s="191"/>
      <c r="BJ241" s="191"/>
      <c r="BK241" s="191"/>
      <c r="BL241" s="191"/>
      <c r="BM241" s="191"/>
      <c r="BN241" s="191"/>
      <c r="BO241" s="191"/>
      <c r="BP241" s="191"/>
      <c r="BQ241" s="191"/>
      <c r="BR241" s="191"/>
      <c r="BS241" s="191"/>
      <c r="BT241" s="191"/>
      <c r="BU241" s="191"/>
      <c r="BV241" s="191"/>
      <c r="BW241" s="191"/>
      <c r="BX241" s="191"/>
      <c r="BY241" s="191"/>
      <c r="BZ241" s="191"/>
      <c r="CA241" s="191"/>
      <c r="CB241" s="191"/>
      <c r="CC241" s="191"/>
      <c r="CD241" s="191"/>
      <c r="CE241" s="191"/>
      <c r="CF241" s="191"/>
      <c r="CG241" s="191"/>
      <c r="CH241" s="191"/>
      <c r="CI241" s="191"/>
      <c r="CJ241" s="191"/>
      <c r="CK241" s="191"/>
      <c r="CL241" s="191"/>
      <c r="CM241" s="191"/>
      <c r="CN241" s="191"/>
      <c r="CO241" s="191"/>
      <c r="CP241" s="191"/>
      <c r="CQ241" s="191"/>
      <c r="CR241" s="191"/>
      <c r="CS241" s="191"/>
      <c r="CT241" s="191"/>
      <c r="CU241" s="367"/>
      <c r="CV241" s="189"/>
    </row>
    <row r="242" spans="1:100" ht="38.25" x14ac:dyDescent="0.2">
      <c r="A242" s="4" t="s">
        <v>1026</v>
      </c>
      <c r="B242" s="371" t="s">
        <v>1130</v>
      </c>
      <c r="C242" s="84">
        <f>SUM(D242:DX242)</f>
        <v>8211119.3100000005</v>
      </c>
      <c r="D242" s="29">
        <f>74833.5+14791</f>
        <v>89624.5</v>
      </c>
      <c r="E242" s="29">
        <v>0</v>
      </c>
      <c r="F242" s="29">
        <v>0</v>
      </c>
      <c r="G242" s="29">
        <f>2499167-500000</f>
        <v>1999167</v>
      </c>
      <c r="H242" s="29">
        <f>1323100+5000</f>
        <v>1328100</v>
      </c>
      <c r="I242" s="29">
        <v>0</v>
      </c>
      <c r="J242" s="29">
        <f>503000+249016</f>
        <v>752016</v>
      </c>
      <c r="K242" s="29">
        <v>0</v>
      </c>
      <c r="L242" s="29">
        <v>0</v>
      </c>
      <c r="M242" s="29">
        <v>0</v>
      </c>
      <c r="N242" s="29">
        <f>559791+21897.81</f>
        <v>581688.81000000006</v>
      </c>
      <c r="O242" s="29">
        <v>0</v>
      </c>
      <c r="P242" s="29">
        <v>0</v>
      </c>
      <c r="Q242" s="29">
        <v>0</v>
      </c>
      <c r="R242" s="29">
        <v>0</v>
      </c>
      <c r="S242" s="29">
        <v>0</v>
      </c>
      <c r="T242" s="29">
        <v>0</v>
      </c>
      <c r="U242" s="29">
        <v>0</v>
      </c>
      <c r="V242" s="29">
        <v>0</v>
      </c>
      <c r="W242" s="29">
        <v>0</v>
      </c>
      <c r="X242" s="29">
        <v>0</v>
      </c>
      <c r="Y242" s="29">
        <v>0</v>
      </c>
      <c r="Z242" s="29">
        <v>0</v>
      </c>
      <c r="AA242" s="29">
        <v>0</v>
      </c>
      <c r="AB242" s="29">
        <v>0</v>
      </c>
      <c r="AC242" s="29">
        <v>0</v>
      </c>
      <c r="AD242" s="29">
        <v>0</v>
      </c>
      <c r="AE242" s="29">
        <v>0</v>
      </c>
      <c r="AF242" s="29">
        <v>0</v>
      </c>
      <c r="AG242" s="29">
        <v>0</v>
      </c>
      <c r="AH242" s="29">
        <v>0</v>
      </c>
      <c r="AI242" s="29">
        <v>0</v>
      </c>
      <c r="AJ242" s="29">
        <v>0</v>
      </c>
      <c r="AK242" s="29">
        <v>0</v>
      </c>
      <c r="AL242" s="29">
        <v>0</v>
      </c>
      <c r="AM242" s="29">
        <v>0</v>
      </c>
      <c r="AN242" s="29">
        <v>0</v>
      </c>
      <c r="AO242" s="29">
        <v>0</v>
      </c>
      <c r="AP242" s="29">
        <v>0</v>
      </c>
      <c r="AQ242" s="29">
        <v>0</v>
      </c>
      <c r="AR242" s="29">
        <v>0</v>
      </c>
      <c r="AS242" s="29">
        <v>0</v>
      </c>
      <c r="AT242" s="29">
        <v>0</v>
      </c>
      <c r="AU242" s="29">
        <v>0</v>
      </c>
      <c r="AV242" s="29">
        <v>0</v>
      </c>
      <c r="AW242" s="29">
        <v>0</v>
      </c>
      <c r="AX242" s="29">
        <v>0</v>
      </c>
      <c r="AY242" s="29">
        <v>0</v>
      </c>
      <c r="AZ242" s="29">
        <v>0</v>
      </c>
      <c r="BA242" s="29">
        <v>0</v>
      </c>
      <c r="BB242" s="29">
        <v>0</v>
      </c>
      <c r="BC242" s="29">
        <v>0</v>
      </c>
      <c r="BD242" s="180">
        <v>72500</v>
      </c>
      <c r="BE242" s="29">
        <v>0</v>
      </c>
      <c r="BF242" s="29">
        <v>319197</v>
      </c>
      <c r="BG242" s="29">
        <v>0</v>
      </c>
      <c r="BH242" s="29">
        <v>0</v>
      </c>
      <c r="BI242" s="29">
        <v>0</v>
      </c>
      <c r="BJ242" s="29">
        <v>0</v>
      </c>
      <c r="BK242" s="29">
        <v>0</v>
      </c>
      <c r="BL242" s="29">
        <v>0</v>
      </c>
      <c r="BM242" s="29">
        <v>0</v>
      </c>
      <c r="BN242" s="29">
        <v>0</v>
      </c>
      <c r="BO242" s="29">
        <v>0</v>
      </c>
      <c r="BP242" s="29">
        <v>0</v>
      </c>
      <c r="BQ242" s="29">
        <v>0</v>
      </c>
      <c r="BR242" s="29">
        <v>0</v>
      </c>
      <c r="BS242" s="29">
        <v>0</v>
      </c>
      <c r="BT242" s="29">
        <v>0</v>
      </c>
      <c r="BU242" s="29">
        <v>0</v>
      </c>
      <c r="BV242" s="29">
        <v>0</v>
      </c>
      <c r="BW242" s="29">
        <v>430356</v>
      </c>
      <c r="BX242" s="29">
        <v>118302</v>
      </c>
      <c r="BY242" s="29">
        <v>0</v>
      </c>
      <c r="BZ242" s="29">
        <v>0</v>
      </c>
      <c r="CA242" s="29">
        <v>0</v>
      </c>
      <c r="CB242" s="29">
        <v>0</v>
      </c>
      <c r="CC242" s="29">
        <v>0</v>
      </c>
      <c r="CD242" s="29">
        <v>45000</v>
      </c>
      <c r="CE242" s="29">
        <v>0</v>
      </c>
      <c r="CF242" s="29">
        <v>0</v>
      </c>
      <c r="CG242" s="29">
        <v>0</v>
      </c>
      <c r="CH242" s="29">
        <v>392050</v>
      </c>
      <c r="CI242" s="29">
        <v>671275</v>
      </c>
      <c r="CJ242" s="29">
        <v>1411843</v>
      </c>
      <c r="CK242" s="29">
        <v>0</v>
      </c>
      <c r="CL242" s="29">
        <v>0</v>
      </c>
      <c r="CM242" s="29">
        <v>0</v>
      </c>
      <c r="CN242" s="29">
        <v>0</v>
      </c>
      <c r="CO242" s="29">
        <v>0</v>
      </c>
      <c r="CP242" s="29">
        <v>0</v>
      </c>
      <c r="CQ242" s="29">
        <v>0</v>
      </c>
      <c r="CR242" s="29">
        <v>0</v>
      </c>
      <c r="CS242" s="29">
        <v>0</v>
      </c>
      <c r="CT242" s="29">
        <v>0</v>
      </c>
      <c r="CU242" s="361">
        <v>0</v>
      </c>
      <c r="CV242" s="189"/>
    </row>
    <row r="243" spans="1:100" ht="38.25" x14ac:dyDescent="0.2">
      <c r="A243" s="4" t="s">
        <v>1026</v>
      </c>
      <c r="B243" s="371" t="s">
        <v>1131</v>
      </c>
      <c r="C243" s="84">
        <f>SUM(D243:DX243)</f>
        <v>820697.81</v>
      </c>
      <c r="D243" s="29">
        <v>0</v>
      </c>
      <c r="E243" s="29"/>
      <c r="F243" s="29">
        <v>0</v>
      </c>
      <c r="G243" s="29">
        <f>420000+6000</f>
        <v>426000</v>
      </c>
      <c r="H243" s="29">
        <v>0</v>
      </c>
      <c r="I243" s="29">
        <v>0</v>
      </c>
      <c r="J243" s="29">
        <v>0</v>
      </c>
      <c r="K243" s="29">
        <v>0</v>
      </c>
      <c r="L243" s="29">
        <v>0</v>
      </c>
      <c r="M243" s="29">
        <v>0</v>
      </c>
      <c r="N243" s="29">
        <f>344000+2800+21897.81</f>
        <v>368697.81</v>
      </c>
      <c r="O243" s="29">
        <v>0</v>
      </c>
      <c r="P243" s="29">
        <v>0</v>
      </c>
      <c r="Q243" s="29">
        <v>0</v>
      </c>
      <c r="R243" s="29">
        <v>0</v>
      </c>
      <c r="S243" s="29">
        <v>0</v>
      </c>
      <c r="T243" s="29">
        <v>0</v>
      </c>
      <c r="U243" s="29">
        <v>0</v>
      </c>
      <c r="V243" s="29">
        <v>0</v>
      </c>
      <c r="W243" s="29">
        <v>0</v>
      </c>
      <c r="X243" s="29">
        <v>0</v>
      </c>
      <c r="Y243" s="29">
        <v>0</v>
      </c>
      <c r="Z243" s="29">
        <v>0</v>
      </c>
      <c r="AA243" s="29">
        <v>0</v>
      </c>
      <c r="AB243" s="29">
        <v>0</v>
      </c>
      <c r="AC243" s="29">
        <v>0</v>
      </c>
      <c r="AD243" s="29">
        <v>0</v>
      </c>
      <c r="AE243" s="29">
        <v>0</v>
      </c>
      <c r="AF243" s="29">
        <v>0</v>
      </c>
      <c r="AG243" s="29">
        <v>0</v>
      </c>
      <c r="AH243" s="29">
        <v>0</v>
      </c>
      <c r="AI243" s="29">
        <v>0</v>
      </c>
      <c r="AJ243" s="29">
        <v>0</v>
      </c>
      <c r="AK243" s="29">
        <v>0</v>
      </c>
      <c r="AL243" s="29">
        <v>0</v>
      </c>
      <c r="AM243" s="29">
        <v>0</v>
      </c>
      <c r="AN243" s="29">
        <v>0</v>
      </c>
      <c r="AO243" s="29">
        <v>0</v>
      </c>
      <c r="AP243" s="29">
        <v>0</v>
      </c>
      <c r="AQ243" s="29">
        <v>0</v>
      </c>
      <c r="AR243" s="29">
        <v>0</v>
      </c>
      <c r="AS243" s="29">
        <v>0</v>
      </c>
      <c r="AT243" s="29">
        <v>0</v>
      </c>
      <c r="AU243" s="29">
        <v>0</v>
      </c>
      <c r="AV243" s="29">
        <v>0</v>
      </c>
      <c r="AW243" s="29">
        <v>0</v>
      </c>
      <c r="AX243" s="29">
        <v>0</v>
      </c>
      <c r="AY243" s="29">
        <v>0</v>
      </c>
      <c r="AZ243" s="29">
        <v>0</v>
      </c>
      <c r="BA243" s="29">
        <v>0</v>
      </c>
      <c r="BB243" s="29">
        <v>0</v>
      </c>
      <c r="BC243" s="29">
        <v>0</v>
      </c>
      <c r="BD243" s="180">
        <v>26000</v>
      </c>
      <c r="BE243" s="29">
        <v>0</v>
      </c>
      <c r="BF243" s="29">
        <v>0</v>
      </c>
      <c r="BG243" s="29">
        <v>0</v>
      </c>
      <c r="BH243" s="29">
        <v>0</v>
      </c>
      <c r="BI243" s="29">
        <v>0</v>
      </c>
      <c r="BJ243" s="29">
        <v>0</v>
      </c>
      <c r="BK243" s="29">
        <v>0</v>
      </c>
      <c r="BL243" s="29">
        <v>0</v>
      </c>
      <c r="BM243" s="29">
        <v>0</v>
      </c>
      <c r="BN243" s="29">
        <v>0</v>
      </c>
      <c r="BO243" s="29">
        <v>0</v>
      </c>
      <c r="BP243" s="29">
        <v>0</v>
      </c>
      <c r="BQ243" s="29">
        <v>0</v>
      </c>
      <c r="BR243" s="29">
        <v>0</v>
      </c>
      <c r="BS243" s="29">
        <v>0</v>
      </c>
      <c r="BT243" s="29">
        <v>0</v>
      </c>
      <c r="BU243" s="29">
        <v>0</v>
      </c>
      <c r="BV243" s="29">
        <v>0</v>
      </c>
      <c r="BW243" s="29">
        <v>0</v>
      </c>
      <c r="BX243" s="29">
        <v>0</v>
      </c>
      <c r="BY243" s="29">
        <v>0</v>
      </c>
      <c r="BZ243" s="29">
        <v>0</v>
      </c>
      <c r="CA243" s="29">
        <v>0</v>
      </c>
      <c r="CB243" s="29">
        <v>0</v>
      </c>
      <c r="CC243" s="29">
        <v>0</v>
      </c>
      <c r="CD243" s="29">
        <v>0</v>
      </c>
      <c r="CE243" s="29">
        <v>0</v>
      </c>
      <c r="CF243" s="29">
        <v>0</v>
      </c>
      <c r="CG243" s="29">
        <v>0</v>
      </c>
      <c r="CH243" s="29">
        <v>0</v>
      </c>
      <c r="CI243" s="29">
        <v>0</v>
      </c>
      <c r="CJ243" s="29">
        <v>0</v>
      </c>
      <c r="CK243" s="29">
        <v>0</v>
      </c>
      <c r="CL243" s="29">
        <v>0</v>
      </c>
      <c r="CM243" s="29">
        <v>0</v>
      </c>
      <c r="CN243" s="29">
        <v>0</v>
      </c>
      <c r="CO243" s="29">
        <v>0</v>
      </c>
      <c r="CP243" s="29">
        <v>0</v>
      </c>
      <c r="CQ243" s="29">
        <v>0</v>
      </c>
      <c r="CR243" s="29">
        <v>0</v>
      </c>
      <c r="CS243" s="29">
        <v>0</v>
      </c>
      <c r="CT243" s="29">
        <v>0</v>
      </c>
      <c r="CU243" s="361">
        <v>0</v>
      </c>
      <c r="CV243" s="189"/>
    </row>
    <row r="244" spans="1:100" ht="38.25" x14ac:dyDescent="0.2">
      <c r="A244" s="4" t="s">
        <v>1026</v>
      </c>
      <c r="B244" s="371" t="s">
        <v>1132</v>
      </c>
      <c r="C244" s="84">
        <f>SUM(D244:DX244)</f>
        <v>438690</v>
      </c>
      <c r="D244" s="29">
        <v>0</v>
      </c>
      <c r="E244" s="29">
        <v>0</v>
      </c>
      <c r="F244" s="29">
        <v>0</v>
      </c>
      <c r="G244" s="29">
        <v>247377</v>
      </c>
      <c r="H244" s="29">
        <v>0</v>
      </c>
      <c r="I244" s="29">
        <v>0</v>
      </c>
      <c r="J244" s="29">
        <v>0</v>
      </c>
      <c r="K244" s="29">
        <v>0</v>
      </c>
      <c r="L244" s="29">
        <v>0</v>
      </c>
      <c r="M244" s="29">
        <v>0</v>
      </c>
      <c r="N244" s="29">
        <v>55410</v>
      </c>
      <c r="O244" s="29">
        <v>0</v>
      </c>
      <c r="P244" s="29">
        <v>0</v>
      </c>
      <c r="Q244" s="29">
        <v>0</v>
      </c>
      <c r="R244" s="29">
        <v>0</v>
      </c>
      <c r="S244" s="29">
        <v>0</v>
      </c>
      <c r="T244" s="29">
        <v>0</v>
      </c>
      <c r="U244" s="29">
        <v>0</v>
      </c>
      <c r="V244" s="29">
        <v>0</v>
      </c>
      <c r="W244" s="29">
        <v>0</v>
      </c>
      <c r="X244" s="29">
        <v>0</v>
      </c>
      <c r="Y244" s="29">
        <v>0</v>
      </c>
      <c r="Z244" s="29">
        <v>0</v>
      </c>
      <c r="AA244" s="29">
        <v>0</v>
      </c>
      <c r="AB244" s="29">
        <v>0</v>
      </c>
      <c r="AC244" s="29">
        <v>0</v>
      </c>
      <c r="AD244" s="29">
        <v>0</v>
      </c>
      <c r="AE244" s="29">
        <v>0</v>
      </c>
      <c r="AF244" s="29">
        <v>0</v>
      </c>
      <c r="AG244" s="29">
        <v>0</v>
      </c>
      <c r="AH244" s="29">
        <v>0</v>
      </c>
      <c r="AI244" s="29">
        <v>0</v>
      </c>
      <c r="AJ244" s="29">
        <v>0</v>
      </c>
      <c r="AK244" s="29">
        <v>0</v>
      </c>
      <c r="AL244" s="29">
        <v>0</v>
      </c>
      <c r="AM244" s="29">
        <v>0</v>
      </c>
      <c r="AN244" s="29">
        <v>0</v>
      </c>
      <c r="AO244" s="29">
        <v>0</v>
      </c>
      <c r="AP244" s="29">
        <v>0</v>
      </c>
      <c r="AQ244" s="29">
        <v>0</v>
      </c>
      <c r="AR244" s="29">
        <v>0</v>
      </c>
      <c r="AS244" s="29">
        <v>0</v>
      </c>
      <c r="AT244" s="29">
        <v>0</v>
      </c>
      <c r="AU244" s="29">
        <v>0</v>
      </c>
      <c r="AV244" s="29">
        <v>0</v>
      </c>
      <c r="AW244" s="29">
        <v>0</v>
      </c>
      <c r="AX244" s="29">
        <v>0</v>
      </c>
      <c r="AY244" s="29">
        <v>0</v>
      </c>
      <c r="AZ244" s="29">
        <v>0</v>
      </c>
      <c r="BA244" s="29">
        <v>0</v>
      </c>
      <c r="BB244" s="29">
        <v>0</v>
      </c>
      <c r="BC244" s="29">
        <v>0</v>
      </c>
      <c r="BD244" s="180">
        <v>0</v>
      </c>
      <c r="BE244" s="29">
        <v>0</v>
      </c>
      <c r="BF244" s="29">
        <v>31595</v>
      </c>
      <c r="BG244" s="29">
        <v>0</v>
      </c>
      <c r="BH244" s="29">
        <v>0</v>
      </c>
      <c r="BI244" s="29">
        <v>0</v>
      </c>
      <c r="BJ244" s="29">
        <v>0</v>
      </c>
      <c r="BK244" s="29">
        <v>0</v>
      </c>
      <c r="BL244" s="29">
        <v>0</v>
      </c>
      <c r="BM244" s="29">
        <v>0</v>
      </c>
      <c r="BN244" s="29">
        <v>0</v>
      </c>
      <c r="BO244" s="29">
        <v>0</v>
      </c>
      <c r="BP244" s="29">
        <v>0</v>
      </c>
      <c r="BQ244" s="29">
        <v>0</v>
      </c>
      <c r="BR244" s="29">
        <v>0</v>
      </c>
      <c r="BS244" s="29">
        <v>0</v>
      </c>
      <c r="BT244" s="29">
        <v>0</v>
      </c>
      <c r="BU244" s="29">
        <v>0</v>
      </c>
      <c r="BV244" s="29">
        <v>0</v>
      </c>
      <c r="BW244" s="29">
        <v>42598</v>
      </c>
      <c r="BX244" s="29">
        <v>11710</v>
      </c>
      <c r="BY244" s="29">
        <v>0</v>
      </c>
      <c r="BZ244" s="29">
        <v>0</v>
      </c>
      <c r="CA244" s="29">
        <v>0</v>
      </c>
      <c r="CB244" s="29">
        <v>0</v>
      </c>
      <c r="CC244" s="29">
        <v>0</v>
      </c>
      <c r="CD244" s="29">
        <v>0</v>
      </c>
      <c r="CE244" s="29">
        <v>0</v>
      </c>
      <c r="CF244" s="29">
        <v>0</v>
      </c>
      <c r="CG244" s="29">
        <v>0</v>
      </c>
      <c r="CH244" s="29">
        <v>0</v>
      </c>
      <c r="CI244" s="29">
        <v>0</v>
      </c>
      <c r="CJ244" s="29">
        <v>0</v>
      </c>
      <c r="CK244" s="29">
        <v>0</v>
      </c>
      <c r="CL244" s="29">
        <v>0</v>
      </c>
      <c r="CM244" s="29">
        <v>0</v>
      </c>
      <c r="CN244" s="29">
        <v>0</v>
      </c>
      <c r="CO244" s="29">
        <v>0</v>
      </c>
      <c r="CP244" s="29">
        <v>0</v>
      </c>
      <c r="CQ244" s="29">
        <v>50000</v>
      </c>
      <c r="CR244" s="29">
        <v>0</v>
      </c>
      <c r="CS244" s="29">
        <v>0</v>
      </c>
      <c r="CT244" s="29">
        <v>0</v>
      </c>
      <c r="CU244" s="361">
        <v>0</v>
      </c>
      <c r="CV244" s="189"/>
    </row>
    <row r="245" spans="1:100" ht="38.25" x14ac:dyDescent="0.2">
      <c r="A245" s="4" t="s">
        <v>1026</v>
      </c>
      <c r="B245" s="371" t="s">
        <v>1133</v>
      </c>
      <c r="C245" s="84">
        <f>SUM(D245:DX245)</f>
        <v>453345</v>
      </c>
      <c r="D245" s="29">
        <v>0</v>
      </c>
      <c r="E245" s="29">
        <v>0</v>
      </c>
      <c r="F245" s="29">
        <v>0</v>
      </c>
      <c r="G245" s="29">
        <f>108126+181842</f>
        <v>289968</v>
      </c>
      <c r="H245" s="29">
        <v>0</v>
      </c>
      <c r="I245" s="29">
        <v>0</v>
      </c>
      <c r="J245" s="29">
        <v>0</v>
      </c>
      <c r="K245" s="29">
        <v>0</v>
      </c>
      <c r="L245" s="29">
        <v>0</v>
      </c>
      <c r="M245" s="29">
        <v>0</v>
      </c>
      <c r="N245" s="29">
        <f>40731+32000</f>
        <v>72731</v>
      </c>
      <c r="O245" s="29">
        <v>0</v>
      </c>
      <c r="P245" s="29">
        <v>0</v>
      </c>
      <c r="Q245" s="29">
        <v>0</v>
      </c>
      <c r="R245" s="29">
        <v>0</v>
      </c>
      <c r="S245" s="29">
        <v>0</v>
      </c>
      <c r="T245" s="29">
        <v>0</v>
      </c>
      <c r="U245" s="29">
        <v>0</v>
      </c>
      <c r="V245" s="29">
        <v>0</v>
      </c>
      <c r="W245" s="29">
        <v>0</v>
      </c>
      <c r="X245" s="29">
        <v>0</v>
      </c>
      <c r="Y245" s="29">
        <v>0</v>
      </c>
      <c r="Z245" s="29">
        <v>0</v>
      </c>
      <c r="AA245" s="29">
        <v>0</v>
      </c>
      <c r="AB245" s="29">
        <v>0</v>
      </c>
      <c r="AC245" s="29">
        <v>0</v>
      </c>
      <c r="AD245" s="29">
        <v>0</v>
      </c>
      <c r="AE245" s="29">
        <v>0</v>
      </c>
      <c r="AF245" s="29">
        <v>0</v>
      </c>
      <c r="AG245" s="29">
        <v>0</v>
      </c>
      <c r="AH245" s="29">
        <v>0</v>
      </c>
      <c r="AI245" s="29">
        <v>0</v>
      </c>
      <c r="AJ245" s="29">
        <v>0</v>
      </c>
      <c r="AK245" s="29">
        <v>0</v>
      </c>
      <c r="AL245" s="29">
        <v>0</v>
      </c>
      <c r="AM245" s="29">
        <v>0</v>
      </c>
      <c r="AN245" s="29">
        <v>0</v>
      </c>
      <c r="AO245" s="29">
        <v>0</v>
      </c>
      <c r="AP245" s="29">
        <v>0</v>
      </c>
      <c r="AQ245" s="29">
        <v>0</v>
      </c>
      <c r="AR245" s="29">
        <v>0</v>
      </c>
      <c r="AS245" s="29">
        <v>0</v>
      </c>
      <c r="AT245" s="29">
        <v>0</v>
      </c>
      <c r="AU245" s="29">
        <v>0</v>
      </c>
      <c r="AV245" s="29">
        <v>0</v>
      </c>
      <c r="AW245" s="29">
        <v>0</v>
      </c>
      <c r="AX245" s="29">
        <v>0</v>
      </c>
      <c r="AY245" s="29">
        <v>0</v>
      </c>
      <c r="AZ245" s="29">
        <v>0</v>
      </c>
      <c r="BA245" s="29">
        <v>0</v>
      </c>
      <c r="BB245" s="29">
        <v>0</v>
      </c>
      <c r="BC245" s="29">
        <v>0</v>
      </c>
      <c r="BD245" s="180">
        <v>27500</v>
      </c>
      <c r="BE245" s="29">
        <v>0</v>
      </c>
      <c r="BF245" s="29">
        <v>23225</v>
      </c>
      <c r="BG245" s="29">
        <v>0</v>
      </c>
      <c r="BH245" s="29">
        <v>0</v>
      </c>
      <c r="BI245" s="29">
        <v>0</v>
      </c>
      <c r="BJ245" s="29">
        <v>0</v>
      </c>
      <c r="BK245" s="29">
        <v>0</v>
      </c>
      <c r="BL245" s="29">
        <v>0</v>
      </c>
      <c r="BM245" s="29">
        <v>0</v>
      </c>
      <c r="BN245" s="29">
        <v>0</v>
      </c>
      <c r="BO245" s="29">
        <v>0</v>
      </c>
      <c r="BP245" s="29">
        <v>0</v>
      </c>
      <c r="BQ245" s="29">
        <v>0</v>
      </c>
      <c r="BR245" s="29">
        <v>0</v>
      </c>
      <c r="BS245" s="29">
        <v>0</v>
      </c>
      <c r="BT245" s="29">
        <v>0</v>
      </c>
      <c r="BU245" s="29">
        <v>0</v>
      </c>
      <c r="BV245" s="29">
        <v>0</v>
      </c>
      <c r="BW245" s="29">
        <v>31313</v>
      </c>
      <c r="BX245" s="29">
        <v>8608</v>
      </c>
      <c r="BY245" s="29">
        <v>0</v>
      </c>
      <c r="BZ245" s="29">
        <v>0</v>
      </c>
      <c r="CA245" s="29">
        <v>0</v>
      </c>
      <c r="CB245" s="29">
        <v>0</v>
      </c>
      <c r="CC245" s="29">
        <v>0</v>
      </c>
      <c r="CD245" s="29">
        <v>0</v>
      </c>
      <c r="CE245" s="29">
        <v>0</v>
      </c>
      <c r="CF245" s="29">
        <v>0</v>
      </c>
      <c r="CG245" s="29">
        <v>0</v>
      </c>
      <c r="CH245" s="29">
        <v>0</v>
      </c>
      <c r="CI245" s="29">
        <v>0</v>
      </c>
      <c r="CJ245" s="29">
        <v>0</v>
      </c>
      <c r="CK245" s="29">
        <v>0</v>
      </c>
      <c r="CL245" s="29">
        <v>0</v>
      </c>
      <c r="CM245" s="29">
        <v>0</v>
      </c>
      <c r="CN245" s="29">
        <v>0</v>
      </c>
      <c r="CO245" s="29">
        <v>0</v>
      </c>
      <c r="CP245" s="29">
        <v>0</v>
      </c>
      <c r="CQ245" s="29">
        <v>0</v>
      </c>
      <c r="CR245" s="29">
        <v>0</v>
      </c>
      <c r="CS245" s="29">
        <v>0</v>
      </c>
      <c r="CT245" s="29">
        <v>0</v>
      </c>
      <c r="CU245" s="361">
        <v>0</v>
      </c>
      <c r="CV245" s="189"/>
    </row>
    <row r="246" spans="1:100" ht="76.5" x14ac:dyDescent="0.2">
      <c r="A246" s="4" t="s">
        <v>1028</v>
      </c>
      <c r="B246" s="372" t="s">
        <v>1134</v>
      </c>
      <c r="C246" s="193"/>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c r="BA246" s="193"/>
      <c r="BB246" s="193"/>
      <c r="BC246" s="193"/>
      <c r="BD246" s="194"/>
      <c r="BE246" s="193"/>
      <c r="BF246" s="193"/>
      <c r="BG246" s="193"/>
      <c r="BH246" s="193"/>
      <c r="BI246" s="193"/>
      <c r="BJ246" s="193"/>
      <c r="BK246" s="193"/>
      <c r="BL246" s="193"/>
      <c r="BM246" s="193"/>
      <c r="BN246" s="193"/>
      <c r="BO246" s="193"/>
      <c r="BP246" s="193"/>
      <c r="BQ246" s="193"/>
      <c r="BR246" s="193"/>
      <c r="BS246" s="193"/>
      <c r="BT246" s="193"/>
      <c r="BU246" s="193"/>
      <c r="BV246" s="193"/>
      <c r="BW246" s="193"/>
      <c r="BX246" s="193"/>
      <c r="BY246" s="193"/>
      <c r="BZ246" s="193"/>
      <c r="CA246" s="193"/>
      <c r="CB246" s="193"/>
      <c r="CC246" s="193"/>
      <c r="CD246" s="193"/>
      <c r="CE246" s="193"/>
      <c r="CF246" s="193"/>
      <c r="CG246" s="193"/>
      <c r="CH246" s="193"/>
      <c r="CI246" s="193"/>
      <c r="CJ246" s="193"/>
      <c r="CK246" s="193"/>
      <c r="CL246" s="193"/>
      <c r="CM246" s="193"/>
      <c r="CN246" s="193"/>
      <c r="CO246" s="193"/>
      <c r="CP246" s="193"/>
      <c r="CQ246" s="193"/>
      <c r="CR246" s="193"/>
      <c r="CS246" s="193"/>
      <c r="CT246" s="193"/>
      <c r="CU246" s="365"/>
      <c r="CV246" s="189"/>
    </row>
    <row r="247" spans="1:100" ht="51" x14ac:dyDescent="0.2">
      <c r="A247" s="4" t="s">
        <v>1027</v>
      </c>
      <c r="B247" s="373" t="s">
        <v>1135</v>
      </c>
      <c r="C247" s="191"/>
      <c r="D247" s="191"/>
      <c r="E247" s="191"/>
      <c r="F247" s="191"/>
      <c r="G247" s="191"/>
      <c r="H247" s="191"/>
      <c r="I247" s="191"/>
      <c r="J247" s="191"/>
      <c r="K247" s="191"/>
      <c r="L247" s="191"/>
      <c r="M247" s="191"/>
      <c r="N247" s="191"/>
      <c r="O247" s="191"/>
      <c r="P247" s="191"/>
      <c r="Q247" s="191"/>
      <c r="R247" s="191"/>
      <c r="S247" s="191"/>
      <c r="T247" s="191"/>
      <c r="U247" s="191"/>
      <c r="V247" s="191"/>
      <c r="W247" s="191"/>
      <c r="X247" s="191"/>
      <c r="Y247" s="191"/>
      <c r="Z247" s="191"/>
      <c r="AA247" s="191"/>
      <c r="AB247" s="191"/>
      <c r="AC247" s="191"/>
      <c r="AD247" s="191"/>
      <c r="AE247" s="191"/>
      <c r="AF247" s="191"/>
      <c r="AG247" s="191"/>
      <c r="AH247" s="191"/>
      <c r="AI247" s="191"/>
      <c r="AJ247" s="191"/>
      <c r="AK247" s="191"/>
      <c r="AL247" s="191"/>
      <c r="AM247" s="191"/>
      <c r="AN247" s="191"/>
      <c r="AO247" s="191"/>
      <c r="AP247" s="191"/>
      <c r="AQ247" s="191"/>
      <c r="AR247" s="191"/>
      <c r="AS247" s="191"/>
      <c r="AT247" s="191"/>
      <c r="AU247" s="191"/>
      <c r="AV247" s="191"/>
      <c r="AW247" s="191"/>
      <c r="AX247" s="191"/>
      <c r="AY247" s="191"/>
      <c r="AZ247" s="191"/>
      <c r="BA247" s="191"/>
      <c r="BB247" s="191"/>
      <c r="BC247" s="191"/>
      <c r="BD247" s="192"/>
      <c r="BE247" s="191"/>
      <c r="BF247" s="191"/>
      <c r="BG247" s="191"/>
      <c r="BH247" s="191"/>
      <c r="BI247" s="191"/>
      <c r="BJ247" s="191"/>
      <c r="BK247" s="191"/>
      <c r="BL247" s="191"/>
      <c r="BM247" s="191"/>
      <c r="BN247" s="191"/>
      <c r="BO247" s="191"/>
      <c r="BP247" s="191"/>
      <c r="BQ247" s="191"/>
      <c r="BR247" s="191"/>
      <c r="BS247" s="191"/>
      <c r="BT247" s="191"/>
      <c r="BU247" s="191"/>
      <c r="BV247" s="191"/>
      <c r="BW247" s="191"/>
      <c r="BX247" s="191"/>
      <c r="BY247" s="191"/>
      <c r="BZ247" s="191"/>
      <c r="CA247" s="191"/>
      <c r="CB247" s="191"/>
      <c r="CC247" s="191"/>
      <c r="CD247" s="191"/>
      <c r="CE247" s="191"/>
      <c r="CF247" s="191"/>
      <c r="CG247" s="191"/>
      <c r="CH247" s="191"/>
      <c r="CI247" s="191"/>
      <c r="CJ247" s="191"/>
      <c r="CK247" s="191"/>
      <c r="CL247" s="191"/>
      <c r="CM247" s="191"/>
      <c r="CN247" s="191"/>
      <c r="CO247" s="191"/>
      <c r="CP247" s="191"/>
      <c r="CQ247" s="191"/>
      <c r="CR247" s="191"/>
      <c r="CS247" s="191"/>
      <c r="CT247" s="191"/>
      <c r="CU247" s="367"/>
      <c r="CV247" s="189"/>
    </row>
    <row r="248" spans="1:100" ht="63" customHeight="1" x14ac:dyDescent="0.2">
      <c r="A248" s="4" t="s">
        <v>1027</v>
      </c>
      <c r="B248" s="369" t="s">
        <v>1136</v>
      </c>
      <c r="C248" s="84">
        <f>SUM(D248:DX248)</f>
        <v>996927</v>
      </c>
      <c r="D248" s="29">
        <v>0</v>
      </c>
      <c r="E248" s="29">
        <v>0</v>
      </c>
      <c r="F248" s="29">
        <v>0</v>
      </c>
      <c r="G248" s="29">
        <v>0</v>
      </c>
      <c r="H248" s="29">
        <v>0</v>
      </c>
      <c r="I248" s="29">
        <v>0</v>
      </c>
      <c r="J248" s="29">
        <v>0</v>
      </c>
      <c r="K248" s="29">
        <v>0</v>
      </c>
      <c r="L248" s="29">
        <v>0</v>
      </c>
      <c r="M248" s="29">
        <v>0</v>
      </c>
      <c r="N248" s="29">
        <v>0</v>
      </c>
      <c r="O248" s="29">
        <v>0</v>
      </c>
      <c r="P248" s="29">
        <v>0</v>
      </c>
      <c r="Q248" s="29">
        <v>0</v>
      </c>
      <c r="R248" s="29">
        <v>0</v>
      </c>
      <c r="S248" s="29">
        <v>0</v>
      </c>
      <c r="T248" s="29">
        <v>0</v>
      </c>
      <c r="U248" s="29">
        <v>0</v>
      </c>
      <c r="V248" s="29">
        <v>0</v>
      </c>
      <c r="W248" s="29">
        <v>0</v>
      </c>
      <c r="X248" s="29">
        <v>0</v>
      </c>
      <c r="Y248" s="29">
        <v>0</v>
      </c>
      <c r="Z248" s="29">
        <v>996927</v>
      </c>
      <c r="AA248" s="29">
        <v>0</v>
      </c>
      <c r="AB248" s="29">
        <v>0</v>
      </c>
      <c r="AC248" s="29">
        <v>0</v>
      </c>
      <c r="AD248" s="29">
        <v>0</v>
      </c>
      <c r="AE248" s="29">
        <v>0</v>
      </c>
      <c r="AF248" s="29">
        <v>0</v>
      </c>
      <c r="AG248" s="29"/>
      <c r="AH248" s="29">
        <v>0</v>
      </c>
      <c r="AI248" s="29">
        <v>0</v>
      </c>
      <c r="AJ248" s="29">
        <v>0</v>
      </c>
      <c r="AK248" s="29">
        <v>0</v>
      </c>
      <c r="AL248" s="29">
        <v>0</v>
      </c>
      <c r="AM248" s="29">
        <v>0</v>
      </c>
      <c r="AN248" s="29">
        <v>0</v>
      </c>
      <c r="AO248" s="29">
        <v>0</v>
      </c>
      <c r="AP248" s="29">
        <v>0</v>
      </c>
      <c r="AQ248" s="29">
        <v>0</v>
      </c>
      <c r="AR248" s="29">
        <v>0</v>
      </c>
      <c r="AS248" s="29">
        <v>0</v>
      </c>
      <c r="AT248" s="29">
        <v>0</v>
      </c>
      <c r="AU248" s="29">
        <v>0</v>
      </c>
      <c r="AV248" s="29">
        <v>0</v>
      </c>
      <c r="AW248" s="29">
        <v>0</v>
      </c>
      <c r="AX248" s="29">
        <v>0</v>
      </c>
      <c r="AY248" s="29">
        <v>0</v>
      </c>
      <c r="AZ248" s="29">
        <v>0</v>
      </c>
      <c r="BA248" s="29">
        <v>0</v>
      </c>
      <c r="BB248" s="29">
        <v>0</v>
      </c>
      <c r="BC248" s="29">
        <v>0</v>
      </c>
      <c r="BD248" s="180">
        <v>0</v>
      </c>
      <c r="BE248" s="29">
        <v>0</v>
      </c>
      <c r="BF248" s="29">
        <v>0</v>
      </c>
      <c r="BG248" s="29">
        <v>0</v>
      </c>
      <c r="BH248" s="29">
        <v>0</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361">
        <v>0</v>
      </c>
      <c r="CV248" s="189"/>
    </row>
    <row r="249" spans="1:100" ht="38.25" x14ac:dyDescent="0.2">
      <c r="A249" s="4" t="s">
        <v>1027</v>
      </c>
      <c r="B249" s="369" t="s">
        <v>1137</v>
      </c>
      <c r="C249" s="84">
        <f>SUM(D249:DX249)</f>
        <v>1280415</v>
      </c>
      <c r="D249" s="29">
        <v>0</v>
      </c>
      <c r="E249" s="29">
        <v>0</v>
      </c>
      <c r="F249" s="29">
        <v>0</v>
      </c>
      <c r="G249" s="29">
        <v>0</v>
      </c>
      <c r="H249" s="29">
        <v>0</v>
      </c>
      <c r="I249" s="29">
        <v>0</v>
      </c>
      <c r="J249" s="29">
        <v>0</v>
      </c>
      <c r="K249" s="29">
        <v>0</v>
      </c>
      <c r="L249" s="29">
        <v>0</v>
      </c>
      <c r="M249" s="29">
        <v>0</v>
      </c>
      <c r="N249" s="29">
        <v>958259</v>
      </c>
      <c r="O249" s="29">
        <v>0</v>
      </c>
      <c r="P249" s="29">
        <v>0</v>
      </c>
      <c r="Q249" s="29">
        <v>0</v>
      </c>
      <c r="R249" s="29">
        <v>0</v>
      </c>
      <c r="S249" s="29">
        <v>0</v>
      </c>
      <c r="T249" s="29">
        <v>0</v>
      </c>
      <c r="U249" s="29">
        <v>0</v>
      </c>
      <c r="V249" s="29">
        <v>0</v>
      </c>
      <c r="W249" s="29">
        <v>0</v>
      </c>
      <c r="X249" s="29">
        <v>0</v>
      </c>
      <c r="Y249" s="29">
        <v>0</v>
      </c>
      <c r="Z249" s="29">
        <v>0</v>
      </c>
      <c r="AA249" s="29">
        <v>0</v>
      </c>
      <c r="AB249" s="29">
        <v>0</v>
      </c>
      <c r="AC249" s="29">
        <v>0</v>
      </c>
      <c r="AD249" s="29">
        <v>0</v>
      </c>
      <c r="AE249" s="29">
        <v>0</v>
      </c>
      <c r="AF249" s="29">
        <v>0</v>
      </c>
      <c r="AG249" s="29">
        <v>68519</v>
      </c>
      <c r="AH249" s="29">
        <v>8532</v>
      </c>
      <c r="AI249" s="29">
        <v>0</v>
      </c>
      <c r="AJ249" s="29">
        <v>0</v>
      </c>
      <c r="AK249" s="29">
        <v>13829</v>
      </c>
      <c r="AL249" s="29">
        <v>0</v>
      </c>
      <c r="AM249" s="29">
        <v>0</v>
      </c>
      <c r="AN249" s="29">
        <v>0</v>
      </c>
      <c r="AO249" s="29">
        <v>0</v>
      </c>
      <c r="AP249" s="29">
        <v>0</v>
      </c>
      <c r="AQ249" s="29">
        <v>0</v>
      </c>
      <c r="AR249" s="29">
        <v>0</v>
      </c>
      <c r="AS249" s="29">
        <v>0</v>
      </c>
      <c r="AT249" s="29">
        <v>0</v>
      </c>
      <c r="AU249" s="29">
        <v>0</v>
      </c>
      <c r="AV249" s="29">
        <v>0</v>
      </c>
      <c r="AW249" s="29">
        <v>0</v>
      </c>
      <c r="AX249" s="29">
        <v>0</v>
      </c>
      <c r="AY249" s="29">
        <v>0</v>
      </c>
      <c r="AZ249" s="29">
        <v>0</v>
      </c>
      <c r="BA249" s="29">
        <v>0</v>
      </c>
      <c r="BB249" s="29">
        <v>0</v>
      </c>
      <c r="BC249" s="29">
        <v>0</v>
      </c>
      <c r="BD249" s="180">
        <v>0</v>
      </c>
      <c r="BE249" s="29">
        <v>0</v>
      </c>
      <c r="BF249" s="29">
        <v>0</v>
      </c>
      <c r="BG249" s="29">
        <v>0</v>
      </c>
      <c r="BH249" s="29">
        <v>0</v>
      </c>
      <c r="BI249" s="29">
        <v>0</v>
      </c>
      <c r="BJ249" s="29">
        <v>0</v>
      </c>
      <c r="BK249" s="29">
        <v>0</v>
      </c>
      <c r="BL249" s="29">
        <v>0</v>
      </c>
      <c r="BM249" s="29">
        <v>0</v>
      </c>
      <c r="BN249" s="29">
        <v>0</v>
      </c>
      <c r="BO249" s="29">
        <v>0</v>
      </c>
      <c r="BP249" s="29">
        <v>0</v>
      </c>
      <c r="BQ249" s="29">
        <v>0</v>
      </c>
      <c r="BR249" s="29">
        <v>0</v>
      </c>
      <c r="BS249" s="29">
        <v>0</v>
      </c>
      <c r="BT249" s="29">
        <v>0</v>
      </c>
      <c r="BU249" s="29">
        <v>0</v>
      </c>
      <c r="BV249" s="29">
        <v>0</v>
      </c>
      <c r="BW249" s="29">
        <v>0</v>
      </c>
      <c r="BX249" s="29">
        <v>0</v>
      </c>
      <c r="BY249" s="29">
        <v>0</v>
      </c>
      <c r="BZ249" s="29">
        <v>0</v>
      </c>
      <c r="CA249" s="29">
        <v>0</v>
      </c>
      <c r="CB249" s="29">
        <v>0</v>
      </c>
      <c r="CC249" s="29">
        <v>0</v>
      </c>
      <c r="CD249" s="29">
        <v>0</v>
      </c>
      <c r="CE249" s="29">
        <v>0</v>
      </c>
      <c r="CF249" s="29">
        <v>0</v>
      </c>
      <c r="CG249" s="29">
        <v>0</v>
      </c>
      <c r="CH249" s="29">
        <v>231276</v>
      </c>
      <c r="CI249" s="29">
        <v>0</v>
      </c>
      <c r="CJ249" s="29">
        <v>0</v>
      </c>
      <c r="CK249" s="29">
        <v>0</v>
      </c>
      <c r="CL249" s="29">
        <v>0</v>
      </c>
      <c r="CM249" s="29">
        <v>0</v>
      </c>
      <c r="CN249" s="29">
        <v>0</v>
      </c>
      <c r="CO249" s="29">
        <v>0</v>
      </c>
      <c r="CP249" s="29">
        <v>0</v>
      </c>
      <c r="CQ249" s="29">
        <v>0</v>
      </c>
      <c r="CR249" s="29">
        <v>0</v>
      </c>
      <c r="CS249" s="29">
        <v>0</v>
      </c>
      <c r="CT249" s="29">
        <v>0</v>
      </c>
      <c r="CU249" s="361">
        <v>0</v>
      </c>
      <c r="CV249" s="189"/>
    </row>
    <row r="250" spans="1:100" ht="72" customHeight="1" x14ac:dyDescent="0.2">
      <c r="A250" s="4" t="s">
        <v>1027</v>
      </c>
      <c r="B250" s="373" t="s">
        <v>1138</v>
      </c>
      <c r="C250" s="191"/>
      <c r="D250" s="191"/>
      <c r="E250" s="191"/>
      <c r="F250" s="191"/>
      <c r="G250" s="191"/>
      <c r="H250" s="191"/>
      <c r="I250" s="191"/>
      <c r="J250" s="191"/>
      <c r="K250" s="191"/>
      <c r="L250" s="191"/>
      <c r="M250" s="191"/>
      <c r="N250" s="191"/>
      <c r="O250" s="191"/>
      <c r="P250" s="191"/>
      <c r="Q250" s="191"/>
      <c r="R250" s="191"/>
      <c r="S250" s="191"/>
      <c r="T250" s="191"/>
      <c r="U250" s="191"/>
      <c r="V250" s="191"/>
      <c r="W250" s="191"/>
      <c r="X250" s="191"/>
      <c r="Y250" s="191"/>
      <c r="Z250" s="191"/>
      <c r="AA250" s="191"/>
      <c r="AB250" s="191"/>
      <c r="AC250" s="191"/>
      <c r="AD250" s="191"/>
      <c r="AE250" s="191"/>
      <c r="AF250" s="191"/>
      <c r="AG250" s="191"/>
      <c r="AH250" s="191"/>
      <c r="AI250" s="191"/>
      <c r="AJ250" s="191"/>
      <c r="AK250" s="191"/>
      <c r="AL250" s="191"/>
      <c r="AM250" s="191"/>
      <c r="AN250" s="191"/>
      <c r="AO250" s="191"/>
      <c r="AP250" s="191"/>
      <c r="AQ250" s="191"/>
      <c r="AR250" s="191"/>
      <c r="AS250" s="191"/>
      <c r="AT250" s="191"/>
      <c r="AU250" s="191"/>
      <c r="AV250" s="191"/>
      <c r="AW250" s="191"/>
      <c r="AX250" s="191"/>
      <c r="AY250" s="191"/>
      <c r="AZ250" s="191"/>
      <c r="BA250" s="191"/>
      <c r="BB250" s="191"/>
      <c r="BC250" s="191"/>
      <c r="BD250" s="192"/>
      <c r="BE250" s="191"/>
      <c r="BF250" s="191"/>
      <c r="BG250" s="191"/>
      <c r="BH250" s="191"/>
      <c r="BI250" s="191"/>
      <c r="BJ250" s="191"/>
      <c r="BK250" s="191"/>
      <c r="BL250" s="191"/>
      <c r="BM250" s="191"/>
      <c r="BN250" s="191"/>
      <c r="BO250" s="191"/>
      <c r="BP250" s="191"/>
      <c r="BQ250" s="191"/>
      <c r="BR250" s="191"/>
      <c r="BS250" s="191"/>
      <c r="BT250" s="191"/>
      <c r="BU250" s="191"/>
      <c r="BV250" s="191"/>
      <c r="BW250" s="191"/>
      <c r="BX250" s="191"/>
      <c r="BY250" s="191"/>
      <c r="BZ250" s="191"/>
      <c r="CA250" s="191"/>
      <c r="CB250" s="191"/>
      <c r="CC250" s="191"/>
      <c r="CD250" s="191"/>
      <c r="CE250" s="191"/>
      <c r="CF250" s="191"/>
      <c r="CG250" s="191"/>
      <c r="CH250" s="191"/>
      <c r="CI250" s="191"/>
      <c r="CJ250" s="191"/>
      <c r="CK250" s="191"/>
      <c r="CL250" s="191"/>
      <c r="CM250" s="191"/>
      <c r="CN250" s="191"/>
      <c r="CO250" s="191"/>
      <c r="CP250" s="191"/>
      <c r="CQ250" s="191"/>
      <c r="CR250" s="191"/>
      <c r="CS250" s="191"/>
      <c r="CT250" s="191"/>
      <c r="CU250" s="367"/>
      <c r="CV250" s="189"/>
    </row>
    <row r="251" spans="1:100" ht="86.25" customHeight="1" x14ac:dyDescent="0.2">
      <c r="A251" s="4" t="s">
        <v>1027</v>
      </c>
      <c r="B251" s="369" t="s">
        <v>1139</v>
      </c>
      <c r="C251" s="84">
        <f>SUM(D251:DX251)</f>
        <v>3359370.6</v>
      </c>
      <c r="D251" s="29">
        <v>1367493.6</v>
      </c>
      <c r="E251" s="29">
        <v>0</v>
      </c>
      <c r="F251" s="29">
        <v>0</v>
      </c>
      <c r="G251" s="29">
        <v>15013</v>
      </c>
      <c r="H251" s="29">
        <v>0</v>
      </c>
      <c r="I251" s="29">
        <v>0</v>
      </c>
      <c r="J251" s="29">
        <v>0</v>
      </c>
      <c r="K251" s="29">
        <v>0</v>
      </c>
      <c r="L251" s="29">
        <v>0</v>
      </c>
      <c r="M251" s="29">
        <v>0</v>
      </c>
      <c r="N251" s="29">
        <v>1517444</v>
      </c>
      <c r="O251" s="29">
        <v>0</v>
      </c>
      <c r="P251" s="29">
        <v>0</v>
      </c>
      <c r="Q251" s="29">
        <v>0</v>
      </c>
      <c r="R251" s="29">
        <v>0</v>
      </c>
      <c r="S251" s="29">
        <v>0</v>
      </c>
      <c r="T251" s="29">
        <v>0</v>
      </c>
      <c r="U251" s="29">
        <v>0</v>
      </c>
      <c r="V251" s="29">
        <v>0</v>
      </c>
      <c r="W251" s="29">
        <v>0</v>
      </c>
      <c r="X251" s="29">
        <v>0</v>
      </c>
      <c r="Y251" s="29">
        <v>0</v>
      </c>
      <c r="Z251" s="29">
        <v>207920</v>
      </c>
      <c r="AA251" s="29">
        <v>230000</v>
      </c>
      <c r="AB251" s="29">
        <v>0</v>
      </c>
      <c r="AC251" s="29">
        <v>0</v>
      </c>
      <c r="AD251" s="29">
        <v>0</v>
      </c>
      <c r="AE251" s="29">
        <v>0</v>
      </c>
      <c r="AF251" s="29">
        <v>0</v>
      </c>
      <c r="AG251" s="29">
        <v>0</v>
      </c>
      <c r="AH251" s="29">
        <v>0</v>
      </c>
      <c r="AI251" s="29">
        <v>21500</v>
      </c>
      <c r="AJ251" s="29">
        <v>0</v>
      </c>
      <c r="AK251" s="29">
        <v>0</v>
      </c>
      <c r="AL251" s="29">
        <v>0</v>
      </c>
      <c r="AM251" s="29">
        <v>0</v>
      </c>
      <c r="AN251" s="29">
        <v>0</v>
      </c>
      <c r="AO251" s="29">
        <v>0</v>
      </c>
      <c r="AP251" s="29">
        <v>0</v>
      </c>
      <c r="AQ251" s="29">
        <v>0</v>
      </c>
      <c r="AR251" s="29">
        <v>0</v>
      </c>
      <c r="AS251" s="29">
        <v>0</v>
      </c>
      <c r="AT251" s="29">
        <v>0</v>
      </c>
      <c r="AU251" s="29">
        <v>0</v>
      </c>
      <c r="AV251" s="29">
        <v>0</v>
      </c>
      <c r="AW251" s="29">
        <v>0</v>
      </c>
      <c r="AX251" s="29">
        <v>0</v>
      </c>
      <c r="AY251" s="29">
        <v>0</v>
      </c>
      <c r="AZ251" s="29">
        <v>0</v>
      </c>
      <c r="BA251" s="29">
        <v>0</v>
      </c>
      <c r="BB251" s="29">
        <v>0</v>
      </c>
      <c r="BC251" s="29">
        <v>0</v>
      </c>
      <c r="BD251" s="180">
        <v>0</v>
      </c>
      <c r="BE251" s="29">
        <v>0</v>
      </c>
      <c r="BF251" s="29">
        <v>0</v>
      </c>
      <c r="BG251" s="29">
        <v>0</v>
      </c>
      <c r="BH251" s="29">
        <v>0</v>
      </c>
      <c r="BI251" s="29">
        <v>0</v>
      </c>
      <c r="BJ251" s="29">
        <v>0</v>
      </c>
      <c r="BK251" s="29">
        <v>0</v>
      </c>
      <c r="BL251" s="29">
        <v>0</v>
      </c>
      <c r="BM251" s="29">
        <v>0</v>
      </c>
      <c r="BN251" s="29">
        <v>0</v>
      </c>
      <c r="BO251" s="29">
        <v>0</v>
      </c>
      <c r="BP251" s="29">
        <v>0</v>
      </c>
      <c r="BQ251" s="29">
        <v>0</v>
      </c>
      <c r="BR251" s="29">
        <v>0</v>
      </c>
      <c r="BS251" s="29">
        <v>0</v>
      </c>
      <c r="BT251" s="29">
        <v>0</v>
      </c>
      <c r="BU251" s="29">
        <v>0</v>
      </c>
      <c r="BV251" s="29">
        <v>0</v>
      </c>
      <c r="BW251" s="29">
        <v>0</v>
      </c>
      <c r="BX251" s="29">
        <v>0</v>
      </c>
      <c r="BY251" s="29">
        <v>0</v>
      </c>
      <c r="BZ251" s="29">
        <v>0</v>
      </c>
      <c r="CA251" s="29">
        <v>0</v>
      </c>
      <c r="CB251" s="29">
        <v>0</v>
      </c>
      <c r="CC251" s="29">
        <v>0</v>
      </c>
      <c r="CD251" s="29">
        <v>0</v>
      </c>
      <c r="CE251" s="29">
        <v>0</v>
      </c>
      <c r="CF251" s="29">
        <v>0</v>
      </c>
      <c r="CG251" s="29">
        <v>0</v>
      </c>
      <c r="CH251" s="29">
        <v>0</v>
      </c>
      <c r="CI251" s="29">
        <v>0</v>
      </c>
      <c r="CJ251" s="29">
        <v>0</v>
      </c>
      <c r="CK251" s="29">
        <v>0</v>
      </c>
      <c r="CL251" s="29">
        <v>0</v>
      </c>
      <c r="CM251" s="29">
        <v>0</v>
      </c>
      <c r="CN251" s="29">
        <v>0</v>
      </c>
      <c r="CO251" s="29">
        <v>0</v>
      </c>
      <c r="CP251" s="29">
        <v>0</v>
      </c>
      <c r="CQ251" s="29">
        <v>0</v>
      </c>
      <c r="CR251" s="29">
        <v>0</v>
      </c>
      <c r="CS251" s="29">
        <v>0</v>
      </c>
      <c r="CT251" s="29">
        <v>0</v>
      </c>
      <c r="CU251" s="361">
        <v>0</v>
      </c>
      <c r="CV251" s="189"/>
    </row>
    <row r="252" spans="1:100" ht="63.75" x14ac:dyDescent="0.2">
      <c r="A252" s="4" t="s">
        <v>1174</v>
      </c>
      <c r="B252" s="369" t="s">
        <v>1140</v>
      </c>
      <c r="C252" s="84">
        <f>SUM(D252:DX252)</f>
        <v>3237632.6799999997</v>
      </c>
      <c r="D252" s="29">
        <v>1815361.68</v>
      </c>
      <c r="E252" s="29">
        <v>0</v>
      </c>
      <c r="F252" s="29">
        <v>0</v>
      </c>
      <c r="G252" s="29">
        <v>0</v>
      </c>
      <c r="H252" s="29">
        <v>0</v>
      </c>
      <c r="I252" s="29">
        <v>0</v>
      </c>
      <c r="J252" s="29">
        <v>0</v>
      </c>
      <c r="K252" s="29">
        <v>0</v>
      </c>
      <c r="L252" s="29">
        <v>0</v>
      </c>
      <c r="M252" s="29">
        <v>0</v>
      </c>
      <c r="N252" s="29">
        <v>798464</v>
      </c>
      <c r="O252" s="29">
        <v>0</v>
      </c>
      <c r="P252" s="29">
        <v>0</v>
      </c>
      <c r="Q252" s="29">
        <v>0</v>
      </c>
      <c r="R252" s="29">
        <v>0</v>
      </c>
      <c r="S252" s="29">
        <v>0</v>
      </c>
      <c r="T252" s="29">
        <v>0</v>
      </c>
      <c r="U252" s="29">
        <v>0</v>
      </c>
      <c r="V252" s="29">
        <v>0</v>
      </c>
      <c r="W252" s="29">
        <v>0</v>
      </c>
      <c r="X252" s="29">
        <v>0</v>
      </c>
      <c r="Y252" s="29">
        <v>0</v>
      </c>
      <c r="Z252" s="29">
        <v>272023</v>
      </c>
      <c r="AA252" s="29">
        <v>0</v>
      </c>
      <c r="AB252" s="29">
        <v>0</v>
      </c>
      <c r="AC252" s="29">
        <v>0</v>
      </c>
      <c r="AD252" s="29">
        <v>0</v>
      </c>
      <c r="AE252" s="29">
        <v>0</v>
      </c>
      <c r="AF252" s="29">
        <v>0</v>
      </c>
      <c r="AG252" s="29">
        <v>0</v>
      </c>
      <c r="AH252" s="29">
        <v>0</v>
      </c>
      <c r="AI252" s="29">
        <v>351784</v>
      </c>
      <c r="AJ252" s="29">
        <v>0</v>
      </c>
      <c r="AK252" s="29">
        <v>0</v>
      </c>
      <c r="AL252" s="29">
        <v>0</v>
      </c>
      <c r="AM252" s="29">
        <v>0</v>
      </c>
      <c r="AN252" s="29">
        <v>0</v>
      </c>
      <c r="AO252" s="29">
        <v>0</v>
      </c>
      <c r="AP252" s="29">
        <v>0</v>
      </c>
      <c r="AQ252" s="29">
        <v>0</v>
      </c>
      <c r="AR252" s="29">
        <v>0</v>
      </c>
      <c r="AS252" s="29">
        <v>0</v>
      </c>
      <c r="AT252" s="29">
        <v>0</v>
      </c>
      <c r="AU252" s="29">
        <v>0</v>
      </c>
      <c r="AV252" s="29">
        <v>0</v>
      </c>
      <c r="AW252" s="29">
        <v>0</v>
      </c>
      <c r="AX252" s="29">
        <v>0</v>
      </c>
      <c r="AY252" s="29">
        <v>0</v>
      </c>
      <c r="AZ252" s="29">
        <v>0</v>
      </c>
      <c r="BA252" s="29">
        <v>0</v>
      </c>
      <c r="BB252" s="29">
        <v>0</v>
      </c>
      <c r="BC252" s="29">
        <v>0</v>
      </c>
      <c r="BD252" s="180">
        <v>0</v>
      </c>
      <c r="BE252" s="29">
        <v>0</v>
      </c>
      <c r="BF252" s="29">
        <v>0</v>
      </c>
      <c r="BG252" s="29">
        <v>0</v>
      </c>
      <c r="BH252" s="29">
        <v>0</v>
      </c>
      <c r="BI252" s="29">
        <v>0</v>
      </c>
      <c r="BJ252" s="29">
        <v>0</v>
      </c>
      <c r="BK252" s="29">
        <v>0</v>
      </c>
      <c r="BL252" s="29">
        <v>0</v>
      </c>
      <c r="BM252" s="29">
        <v>0</v>
      </c>
      <c r="BN252" s="29">
        <v>0</v>
      </c>
      <c r="BO252" s="29">
        <v>0</v>
      </c>
      <c r="BP252" s="29">
        <v>0</v>
      </c>
      <c r="BQ252" s="29">
        <v>0</v>
      </c>
      <c r="BR252" s="29">
        <v>0</v>
      </c>
      <c r="BS252" s="29">
        <v>0</v>
      </c>
      <c r="BT252" s="29">
        <v>0</v>
      </c>
      <c r="BU252" s="29">
        <v>0</v>
      </c>
      <c r="BV252" s="29">
        <v>0</v>
      </c>
      <c r="BW252" s="29">
        <v>0</v>
      </c>
      <c r="BX252" s="29">
        <v>0</v>
      </c>
      <c r="BY252" s="29">
        <v>0</v>
      </c>
      <c r="BZ252" s="29">
        <v>0</v>
      </c>
      <c r="CA252" s="29">
        <v>0</v>
      </c>
      <c r="CB252" s="29">
        <v>0</v>
      </c>
      <c r="CC252" s="29">
        <v>0</v>
      </c>
      <c r="CD252" s="29">
        <v>0</v>
      </c>
      <c r="CE252" s="29">
        <v>0</v>
      </c>
      <c r="CF252" s="29">
        <v>0</v>
      </c>
      <c r="CG252" s="29">
        <v>0</v>
      </c>
      <c r="CH252" s="29">
        <v>0</v>
      </c>
      <c r="CI252" s="29">
        <v>0</v>
      </c>
      <c r="CJ252" s="29">
        <v>0</v>
      </c>
      <c r="CK252" s="29">
        <v>0</v>
      </c>
      <c r="CL252" s="29">
        <v>0</v>
      </c>
      <c r="CM252" s="29">
        <v>0</v>
      </c>
      <c r="CN252" s="29">
        <v>0</v>
      </c>
      <c r="CO252" s="29">
        <v>0</v>
      </c>
      <c r="CP252" s="29">
        <v>0</v>
      </c>
      <c r="CQ252" s="29">
        <v>0</v>
      </c>
      <c r="CR252" s="29">
        <v>0</v>
      </c>
      <c r="CS252" s="29">
        <v>0</v>
      </c>
      <c r="CT252" s="29">
        <v>0</v>
      </c>
      <c r="CU252" s="361">
        <v>0</v>
      </c>
      <c r="CV252" s="189"/>
    </row>
    <row r="253" spans="1:100" ht="57.75" customHeight="1" x14ac:dyDescent="0.2">
      <c r="A253" s="404" t="s">
        <v>1173</v>
      </c>
      <c r="B253" s="373" t="s">
        <v>1141</v>
      </c>
      <c r="C253" s="191"/>
      <c r="D253" s="191"/>
      <c r="E253" s="191"/>
      <c r="F253" s="191"/>
      <c r="G253" s="191"/>
      <c r="H253" s="191"/>
      <c r="I253" s="191"/>
      <c r="J253" s="191"/>
      <c r="K253" s="191"/>
      <c r="L253" s="191"/>
      <c r="M253" s="191"/>
      <c r="N253" s="191"/>
      <c r="O253" s="191"/>
      <c r="P253" s="191"/>
      <c r="Q253" s="191"/>
      <c r="R253" s="191"/>
      <c r="S253" s="191"/>
      <c r="T253" s="191"/>
      <c r="U253" s="191"/>
      <c r="V253" s="191"/>
      <c r="W253" s="191"/>
      <c r="X253" s="191"/>
      <c r="Y253" s="191"/>
      <c r="Z253" s="191"/>
      <c r="AA253" s="19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2"/>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367"/>
      <c r="CV253" s="189"/>
    </row>
    <row r="254" spans="1:100" ht="46.5" customHeight="1" x14ac:dyDescent="0.2">
      <c r="A254" s="404" t="s">
        <v>1173</v>
      </c>
      <c r="B254" s="369" t="s">
        <v>1142</v>
      </c>
      <c r="C254" s="84">
        <f>SUM(D254:DX254)</f>
        <v>95450</v>
      </c>
      <c r="D254" s="29">
        <v>0</v>
      </c>
      <c r="E254" s="29">
        <v>0</v>
      </c>
      <c r="F254" s="29">
        <v>0</v>
      </c>
      <c r="G254" s="29">
        <v>0</v>
      </c>
      <c r="H254" s="29">
        <v>0</v>
      </c>
      <c r="I254" s="29">
        <v>0</v>
      </c>
      <c r="J254" s="29">
        <v>0</v>
      </c>
      <c r="K254" s="29">
        <v>0</v>
      </c>
      <c r="L254" s="29">
        <v>0</v>
      </c>
      <c r="M254" s="29">
        <v>0</v>
      </c>
      <c r="N254" s="29">
        <v>95450</v>
      </c>
      <c r="O254" s="29">
        <v>0</v>
      </c>
      <c r="P254" s="29">
        <v>0</v>
      </c>
      <c r="Q254" s="29">
        <v>0</v>
      </c>
      <c r="R254" s="29">
        <v>0</v>
      </c>
      <c r="S254" s="29">
        <v>0</v>
      </c>
      <c r="T254" s="29">
        <v>0</v>
      </c>
      <c r="U254" s="29">
        <v>0</v>
      </c>
      <c r="V254" s="29">
        <v>0</v>
      </c>
      <c r="W254" s="29">
        <v>0</v>
      </c>
      <c r="X254" s="29">
        <v>0</v>
      </c>
      <c r="Y254" s="29">
        <v>0</v>
      </c>
      <c r="Z254" s="29">
        <v>0</v>
      </c>
      <c r="AA254" s="29">
        <v>0</v>
      </c>
      <c r="AB254" s="29">
        <v>0</v>
      </c>
      <c r="AC254" s="29">
        <v>0</v>
      </c>
      <c r="AD254" s="29">
        <v>0</v>
      </c>
      <c r="AE254" s="29">
        <v>0</v>
      </c>
      <c r="AF254" s="29">
        <v>0</v>
      </c>
      <c r="AG254" s="29">
        <v>0</v>
      </c>
      <c r="AH254" s="29">
        <v>0</v>
      </c>
      <c r="AI254" s="29">
        <v>0</v>
      </c>
      <c r="AJ254" s="29">
        <v>0</v>
      </c>
      <c r="AK254" s="29">
        <v>0</v>
      </c>
      <c r="AL254" s="29">
        <v>0</v>
      </c>
      <c r="AM254" s="29">
        <v>0</v>
      </c>
      <c r="AN254" s="29">
        <v>0</v>
      </c>
      <c r="AO254" s="29">
        <v>0</v>
      </c>
      <c r="AP254" s="29">
        <v>0</v>
      </c>
      <c r="AQ254" s="29">
        <v>0</v>
      </c>
      <c r="AR254" s="29">
        <v>0</v>
      </c>
      <c r="AS254" s="29">
        <v>0</v>
      </c>
      <c r="AT254" s="29">
        <v>0</v>
      </c>
      <c r="AU254" s="29">
        <v>0</v>
      </c>
      <c r="AV254" s="29">
        <v>0</v>
      </c>
      <c r="AW254" s="29">
        <v>0</v>
      </c>
      <c r="AX254" s="29">
        <v>0</v>
      </c>
      <c r="AY254" s="29">
        <v>0</v>
      </c>
      <c r="AZ254" s="29">
        <v>0</v>
      </c>
      <c r="BA254" s="29">
        <v>0</v>
      </c>
      <c r="BB254" s="29">
        <v>0</v>
      </c>
      <c r="BC254" s="29">
        <v>0</v>
      </c>
      <c r="BD254" s="180">
        <v>0</v>
      </c>
      <c r="BE254" s="29">
        <v>0</v>
      </c>
      <c r="BF254" s="29">
        <v>0</v>
      </c>
      <c r="BG254" s="29">
        <v>0</v>
      </c>
      <c r="BH254" s="29">
        <v>0</v>
      </c>
      <c r="BI254" s="29">
        <v>0</v>
      </c>
      <c r="BJ254" s="29">
        <v>0</v>
      </c>
      <c r="BK254" s="29">
        <v>0</v>
      </c>
      <c r="BL254" s="29">
        <v>0</v>
      </c>
      <c r="BM254" s="29">
        <v>0</v>
      </c>
      <c r="BN254" s="29">
        <v>0</v>
      </c>
      <c r="BO254" s="29">
        <v>0</v>
      </c>
      <c r="BP254" s="29">
        <v>0</v>
      </c>
      <c r="BQ254" s="29">
        <v>0</v>
      </c>
      <c r="BR254" s="29">
        <v>0</v>
      </c>
      <c r="BS254" s="29">
        <v>0</v>
      </c>
      <c r="BT254" s="29">
        <v>0</v>
      </c>
      <c r="BU254" s="29">
        <v>0</v>
      </c>
      <c r="BV254" s="29">
        <v>0</v>
      </c>
      <c r="BW254" s="29">
        <v>0</v>
      </c>
      <c r="BX254" s="29">
        <v>0</v>
      </c>
      <c r="BY254" s="29">
        <v>0</v>
      </c>
      <c r="BZ254" s="29">
        <v>0</v>
      </c>
      <c r="CA254" s="29">
        <v>0</v>
      </c>
      <c r="CB254" s="29">
        <v>0</v>
      </c>
      <c r="CC254" s="29">
        <v>0</v>
      </c>
      <c r="CD254" s="29">
        <v>0</v>
      </c>
      <c r="CE254" s="29">
        <v>0</v>
      </c>
      <c r="CF254" s="29">
        <v>0</v>
      </c>
      <c r="CG254" s="29">
        <v>0</v>
      </c>
      <c r="CH254" s="29">
        <v>0</v>
      </c>
      <c r="CI254" s="29">
        <v>0</v>
      </c>
      <c r="CJ254" s="29">
        <v>0</v>
      </c>
      <c r="CK254" s="29">
        <v>0</v>
      </c>
      <c r="CL254" s="29">
        <v>0</v>
      </c>
      <c r="CM254" s="29">
        <v>0</v>
      </c>
      <c r="CN254" s="29">
        <v>0</v>
      </c>
      <c r="CO254" s="29">
        <v>0</v>
      </c>
      <c r="CP254" s="29">
        <v>0</v>
      </c>
      <c r="CQ254" s="29">
        <v>0</v>
      </c>
      <c r="CR254" s="29">
        <v>0</v>
      </c>
      <c r="CS254" s="29">
        <v>0</v>
      </c>
      <c r="CT254" s="29">
        <v>0</v>
      </c>
      <c r="CU254" s="361">
        <v>0</v>
      </c>
      <c r="CV254" s="189"/>
    </row>
    <row r="255" spans="1:100" ht="76.5" x14ac:dyDescent="0.2">
      <c r="A255" s="404" t="s">
        <v>1173</v>
      </c>
      <c r="B255" s="369" t="s">
        <v>1143</v>
      </c>
      <c r="C255" s="84">
        <f>SUM(D255:DX255)</f>
        <v>335225</v>
      </c>
      <c r="D255" s="29">
        <v>0</v>
      </c>
      <c r="E255" s="29">
        <v>0</v>
      </c>
      <c r="F255" s="29">
        <v>0</v>
      </c>
      <c r="G255" s="29">
        <v>0</v>
      </c>
      <c r="H255" s="29">
        <v>0</v>
      </c>
      <c r="I255" s="29">
        <v>0</v>
      </c>
      <c r="J255" s="29">
        <v>0</v>
      </c>
      <c r="K255" s="29">
        <v>0</v>
      </c>
      <c r="L255" s="29">
        <v>0</v>
      </c>
      <c r="M255" s="29">
        <v>0</v>
      </c>
      <c r="N255" s="29">
        <v>335225</v>
      </c>
      <c r="O255" s="29">
        <v>0</v>
      </c>
      <c r="P255" s="29">
        <v>0</v>
      </c>
      <c r="Q255" s="29">
        <v>0</v>
      </c>
      <c r="R255" s="29">
        <v>0</v>
      </c>
      <c r="S255" s="29">
        <v>0</v>
      </c>
      <c r="T255" s="29">
        <v>0</v>
      </c>
      <c r="U255" s="29">
        <v>0</v>
      </c>
      <c r="V255" s="29">
        <v>0</v>
      </c>
      <c r="W255" s="29">
        <v>0</v>
      </c>
      <c r="X255" s="29">
        <v>0</v>
      </c>
      <c r="Y255" s="29">
        <v>0</v>
      </c>
      <c r="Z255" s="29">
        <v>0</v>
      </c>
      <c r="AA255" s="29">
        <v>0</v>
      </c>
      <c r="AB255" s="29">
        <v>0</v>
      </c>
      <c r="AC255" s="29">
        <v>0</v>
      </c>
      <c r="AD255" s="29">
        <v>0</v>
      </c>
      <c r="AE255" s="29">
        <v>0</v>
      </c>
      <c r="AF255" s="29">
        <v>0</v>
      </c>
      <c r="AG255" s="29">
        <v>0</v>
      </c>
      <c r="AH255" s="29">
        <v>0</v>
      </c>
      <c r="AI255" s="29">
        <v>0</v>
      </c>
      <c r="AJ255" s="29">
        <v>0</v>
      </c>
      <c r="AK255" s="29">
        <v>0</v>
      </c>
      <c r="AL255" s="29">
        <v>0</v>
      </c>
      <c r="AM255" s="29">
        <v>0</v>
      </c>
      <c r="AN255" s="29">
        <v>0</v>
      </c>
      <c r="AO255" s="29">
        <v>0</v>
      </c>
      <c r="AP255" s="29">
        <v>0</v>
      </c>
      <c r="AQ255" s="29">
        <v>0</v>
      </c>
      <c r="AR255" s="29">
        <v>0</v>
      </c>
      <c r="AS255" s="29">
        <v>0</v>
      </c>
      <c r="AT255" s="29">
        <v>0</v>
      </c>
      <c r="AU255" s="29">
        <v>0</v>
      </c>
      <c r="AV255" s="29">
        <v>0</v>
      </c>
      <c r="AW255" s="29">
        <v>0</v>
      </c>
      <c r="AX255" s="29">
        <v>0</v>
      </c>
      <c r="AY255" s="29">
        <v>0</v>
      </c>
      <c r="AZ255" s="29">
        <v>0</v>
      </c>
      <c r="BA255" s="29">
        <v>0</v>
      </c>
      <c r="BB255" s="29">
        <v>0</v>
      </c>
      <c r="BC255" s="29">
        <v>0</v>
      </c>
      <c r="BD255" s="180">
        <v>0</v>
      </c>
      <c r="BE255" s="29">
        <v>0</v>
      </c>
      <c r="BF255" s="29">
        <v>0</v>
      </c>
      <c r="BG255" s="29">
        <v>0</v>
      </c>
      <c r="BH255" s="29">
        <v>0</v>
      </c>
      <c r="BI255" s="29">
        <v>0</v>
      </c>
      <c r="BJ255" s="29">
        <v>0</v>
      </c>
      <c r="BK255" s="29">
        <v>0</v>
      </c>
      <c r="BL255" s="29">
        <v>0</v>
      </c>
      <c r="BM255" s="29">
        <v>0</v>
      </c>
      <c r="BN255" s="29">
        <v>0</v>
      </c>
      <c r="BO255" s="29">
        <v>0</v>
      </c>
      <c r="BP255" s="29">
        <v>0</v>
      </c>
      <c r="BQ255" s="29">
        <v>0</v>
      </c>
      <c r="BR255" s="29">
        <v>0</v>
      </c>
      <c r="BS255" s="29">
        <v>0</v>
      </c>
      <c r="BT255" s="29">
        <v>0</v>
      </c>
      <c r="BU255" s="29">
        <v>0</v>
      </c>
      <c r="BV255" s="29">
        <v>0</v>
      </c>
      <c r="BW255" s="29">
        <v>0</v>
      </c>
      <c r="BX255" s="29">
        <v>0</v>
      </c>
      <c r="BY255" s="29">
        <v>0</v>
      </c>
      <c r="BZ255" s="29">
        <v>0</v>
      </c>
      <c r="CA255" s="29">
        <v>0</v>
      </c>
      <c r="CB255" s="29">
        <v>0</v>
      </c>
      <c r="CC255" s="29">
        <v>0</v>
      </c>
      <c r="CD255" s="29">
        <v>0</v>
      </c>
      <c r="CE255" s="29">
        <v>0</v>
      </c>
      <c r="CF255" s="29">
        <v>0</v>
      </c>
      <c r="CG255" s="29">
        <v>0</v>
      </c>
      <c r="CH255" s="29">
        <v>0</v>
      </c>
      <c r="CI255" s="29">
        <v>0</v>
      </c>
      <c r="CJ255" s="29">
        <v>0</v>
      </c>
      <c r="CK255" s="29">
        <v>0</v>
      </c>
      <c r="CL255" s="29">
        <v>0</v>
      </c>
      <c r="CM255" s="29">
        <v>0</v>
      </c>
      <c r="CN255" s="29">
        <v>0</v>
      </c>
      <c r="CO255" s="29">
        <v>0</v>
      </c>
      <c r="CP255" s="29">
        <v>0</v>
      </c>
      <c r="CQ255" s="29">
        <v>0</v>
      </c>
      <c r="CR255" s="29">
        <v>0</v>
      </c>
      <c r="CS255" s="29">
        <v>0</v>
      </c>
      <c r="CT255" s="29">
        <v>0</v>
      </c>
      <c r="CU255" s="361">
        <v>0</v>
      </c>
      <c r="CV255" s="189"/>
    </row>
    <row r="256" spans="1:100" ht="76.5" x14ac:dyDescent="0.2">
      <c r="A256" s="404" t="s">
        <v>1173</v>
      </c>
      <c r="B256" s="369" t="s">
        <v>1144</v>
      </c>
      <c r="C256" s="84">
        <f>SUM(D256:DX256)</f>
        <v>144325</v>
      </c>
      <c r="D256" s="29">
        <v>0</v>
      </c>
      <c r="E256" s="29">
        <v>0</v>
      </c>
      <c r="F256" s="29">
        <v>0</v>
      </c>
      <c r="G256" s="29">
        <v>0</v>
      </c>
      <c r="H256" s="29">
        <v>0</v>
      </c>
      <c r="I256" s="29">
        <v>0</v>
      </c>
      <c r="J256" s="29">
        <v>0</v>
      </c>
      <c r="K256" s="29">
        <v>0</v>
      </c>
      <c r="L256" s="29">
        <v>0</v>
      </c>
      <c r="M256" s="29">
        <v>0</v>
      </c>
      <c r="N256" s="29">
        <v>144325</v>
      </c>
      <c r="O256" s="29">
        <v>0</v>
      </c>
      <c r="P256" s="29">
        <v>0</v>
      </c>
      <c r="Q256" s="29">
        <v>0</v>
      </c>
      <c r="R256" s="29">
        <v>0</v>
      </c>
      <c r="S256" s="29">
        <v>0</v>
      </c>
      <c r="T256" s="29">
        <v>0</v>
      </c>
      <c r="U256" s="29">
        <v>0</v>
      </c>
      <c r="V256" s="29">
        <v>0</v>
      </c>
      <c r="W256" s="29">
        <v>0</v>
      </c>
      <c r="X256" s="29">
        <v>0</v>
      </c>
      <c r="Y256" s="29">
        <v>0</v>
      </c>
      <c r="Z256" s="29">
        <v>0</v>
      </c>
      <c r="AA256" s="29">
        <v>0</v>
      </c>
      <c r="AB256" s="29">
        <v>0</v>
      </c>
      <c r="AC256" s="29">
        <v>0</v>
      </c>
      <c r="AD256" s="29">
        <v>0</v>
      </c>
      <c r="AE256" s="29">
        <v>0</v>
      </c>
      <c r="AF256" s="29">
        <v>0</v>
      </c>
      <c r="AG256" s="29">
        <v>0</v>
      </c>
      <c r="AH256" s="29">
        <v>0</v>
      </c>
      <c r="AI256" s="29">
        <v>0</v>
      </c>
      <c r="AJ256" s="29">
        <v>0</v>
      </c>
      <c r="AK256" s="29">
        <v>0</v>
      </c>
      <c r="AL256" s="29">
        <v>0</v>
      </c>
      <c r="AM256" s="29">
        <v>0</v>
      </c>
      <c r="AN256" s="29">
        <v>0</v>
      </c>
      <c r="AO256" s="29">
        <v>0</v>
      </c>
      <c r="AP256" s="29">
        <v>0</v>
      </c>
      <c r="AQ256" s="29">
        <v>0</v>
      </c>
      <c r="AR256" s="29">
        <v>0</v>
      </c>
      <c r="AS256" s="29">
        <v>0</v>
      </c>
      <c r="AT256" s="29">
        <v>0</v>
      </c>
      <c r="AU256" s="29">
        <v>0</v>
      </c>
      <c r="AV256" s="29">
        <v>0</v>
      </c>
      <c r="AW256" s="29">
        <v>0</v>
      </c>
      <c r="AX256" s="29">
        <v>0</v>
      </c>
      <c r="AY256" s="29">
        <v>0</v>
      </c>
      <c r="AZ256" s="29">
        <v>0</v>
      </c>
      <c r="BA256" s="29">
        <v>0</v>
      </c>
      <c r="BB256" s="29">
        <v>0</v>
      </c>
      <c r="BC256" s="29">
        <v>0</v>
      </c>
      <c r="BD256" s="180">
        <v>0</v>
      </c>
      <c r="BE256" s="29">
        <v>0</v>
      </c>
      <c r="BF256" s="29">
        <v>0</v>
      </c>
      <c r="BG256" s="29">
        <v>0</v>
      </c>
      <c r="BH256" s="29">
        <v>0</v>
      </c>
      <c r="BI256" s="29">
        <v>0</v>
      </c>
      <c r="BJ256" s="29">
        <v>0</v>
      </c>
      <c r="BK256" s="29">
        <v>0</v>
      </c>
      <c r="BL256" s="29">
        <v>0</v>
      </c>
      <c r="BM256" s="29">
        <v>0</v>
      </c>
      <c r="BN256" s="29">
        <v>0</v>
      </c>
      <c r="BO256" s="29">
        <v>0</v>
      </c>
      <c r="BP256" s="29">
        <v>0</v>
      </c>
      <c r="BQ256" s="29">
        <v>0</v>
      </c>
      <c r="BR256" s="29">
        <v>0</v>
      </c>
      <c r="BS256" s="29">
        <v>0</v>
      </c>
      <c r="BT256" s="29">
        <v>0</v>
      </c>
      <c r="BU256" s="29">
        <v>0</v>
      </c>
      <c r="BV256" s="29">
        <v>0</v>
      </c>
      <c r="BW256" s="29">
        <v>0</v>
      </c>
      <c r="BX256" s="29">
        <v>0</v>
      </c>
      <c r="BY256" s="29">
        <v>0</v>
      </c>
      <c r="BZ256" s="29">
        <v>0</v>
      </c>
      <c r="CA256" s="29">
        <v>0</v>
      </c>
      <c r="CB256" s="29">
        <v>0</v>
      </c>
      <c r="CC256" s="29">
        <v>0</v>
      </c>
      <c r="CD256" s="29">
        <v>0</v>
      </c>
      <c r="CE256" s="29">
        <v>0</v>
      </c>
      <c r="CF256" s="29">
        <v>0</v>
      </c>
      <c r="CG256" s="29">
        <v>0</v>
      </c>
      <c r="CH256" s="29">
        <v>0</v>
      </c>
      <c r="CI256" s="29">
        <v>0</v>
      </c>
      <c r="CJ256" s="29">
        <v>0</v>
      </c>
      <c r="CK256" s="29">
        <v>0</v>
      </c>
      <c r="CL256" s="29">
        <v>0</v>
      </c>
      <c r="CM256" s="29">
        <v>0</v>
      </c>
      <c r="CN256" s="29">
        <v>0</v>
      </c>
      <c r="CO256" s="29">
        <v>0</v>
      </c>
      <c r="CP256" s="29">
        <v>0</v>
      </c>
      <c r="CQ256" s="29">
        <v>0</v>
      </c>
      <c r="CR256" s="29">
        <v>0</v>
      </c>
      <c r="CS256" s="29">
        <v>0</v>
      </c>
      <c r="CT256" s="29">
        <v>0</v>
      </c>
      <c r="CU256" s="361">
        <v>0</v>
      </c>
      <c r="CV256" s="189"/>
    </row>
    <row r="257" spans="1:100" ht="69" customHeight="1" x14ac:dyDescent="0.2">
      <c r="A257" s="404" t="s">
        <v>1173</v>
      </c>
      <c r="B257" s="373" t="s">
        <v>1145</v>
      </c>
      <c r="C257" s="191"/>
      <c r="D257" s="191"/>
      <c r="E257" s="191"/>
      <c r="F257" s="191"/>
      <c r="G257" s="191"/>
      <c r="H257" s="191"/>
      <c r="I257" s="191"/>
      <c r="J257" s="191"/>
      <c r="K257" s="191"/>
      <c r="L257" s="191"/>
      <c r="M257" s="191"/>
      <c r="N257" s="191"/>
      <c r="O257" s="191"/>
      <c r="P257" s="191"/>
      <c r="Q257" s="191"/>
      <c r="R257" s="191"/>
      <c r="S257" s="191"/>
      <c r="T257" s="191"/>
      <c r="U257" s="191"/>
      <c r="V257" s="191"/>
      <c r="W257" s="191"/>
      <c r="X257" s="191"/>
      <c r="Y257" s="191"/>
      <c r="Z257" s="191"/>
      <c r="AA257" s="191"/>
      <c r="AB257" s="191"/>
      <c r="AC257" s="191"/>
      <c r="AD257" s="191"/>
      <c r="AE257" s="191"/>
      <c r="AF257" s="191"/>
      <c r="AG257" s="191"/>
      <c r="AH257" s="191"/>
      <c r="AI257" s="191"/>
      <c r="AJ257" s="191"/>
      <c r="AK257" s="191"/>
      <c r="AL257" s="191"/>
      <c r="AM257" s="191"/>
      <c r="AN257" s="191"/>
      <c r="AO257" s="191"/>
      <c r="AP257" s="191"/>
      <c r="AQ257" s="191"/>
      <c r="AR257" s="191"/>
      <c r="AS257" s="191"/>
      <c r="AT257" s="191"/>
      <c r="AU257" s="191"/>
      <c r="AV257" s="191"/>
      <c r="AW257" s="191"/>
      <c r="AX257" s="191"/>
      <c r="AY257" s="191"/>
      <c r="AZ257" s="191"/>
      <c r="BA257" s="191"/>
      <c r="BB257" s="191"/>
      <c r="BC257" s="191"/>
      <c r="BD257" s="192"/>
      <c r="BE257" s="191"/>
      <c r="BF257" s="191"/>
      <c r="BG257" s="191"/>
      <c r="BH257" s="191"/>
      <c r="BI257" s="191"/>
      <c r="BJ257" s="191"/>
      <c r="BK257" s="191"/>
      <c r="BL257" s="191"/>
      <c r="BM257" s="191"/>
      <c r="BN257" s="191"/>
      <c r="BO257" s="191"/>
      <c r="BP257" s="191"/>
      <c r="BQ257" s="191"/>
      <c r="BR257" s="191"/>
      <c r="BS257" s="191"/>
      <c r="BT257" s="191"/>
      <c r="BU257" s="191"/>
      <c r="BV257" s="191"/>
      <c r="BW257" s="191"/>
      <c r="BX257" s="191"/>
      <c r="BY257" s="191"/>
      <c r="BZ257" s="191"/>
      <c r="CA257" s="191"/>
      <c r="CB257" s="191"/>
      <c r="CC257" s="191"/>
      <c r="CD257" s="191"/>
      <c r="CE257" s="191"/>
      <c r="CF257" s="191"/>
      <c r="CG257" s="191"/>
      <c r="CH257" s="191"/>
      <c r="CI257" s="191"/>
      <c r="CJ257" s="191"/>
      <c r="CK257" s="191"/>
      <c r="CL257" s="191"/>
      <c r="CM257" s="191"/>
      <c r="CN257" s="191"/>
      <c r="CO257" s="191"/>
      <c r="CP257" s="191"/>
      <c r="CQ257" s="191"/>
      <c r="CR257" s="191"/>
      <c r="CS257" s="191"/>
      <c r="CT257" s="191"/>
      <c r="CU257" s="367"/>
      <c r="CV257" s="189"/>
    </row>
    <row r="258" spans="1:100" ht="57.75" customHeight="1" x14ac:dyDescent="0.2">
      <c r="A258" s="404" t="s">
        <v>1173</v>
      </c>
      <c r="B258" s="369" t="s">
        <v>1146</v>
      </c>
      <c r="C258" s="84">
        <f>SUM(D258:DX258)</f>
        <v>1556375</v>
      </c>
      <c r="D258" s="29">
        <v>0</v>
      </c>
      <c r="E258" s="29">
        <v>0</v>
      </c>
      <c r="F258" s="29">
        <v>0</v>
      </c>
      <c r="G258" s="29">
        <v>463945</v>
      </c>
      <c r="H258" s="29">
        <v>0</v>
      </c>
      <c r="I258" s="29">
        <v>0</v>
      </c>
      <c r="J258" s="29">
        <v>0</v>
      </c>
      <c r="K258" s="29">
        <v>0</v>
      </c>
      <c r="L258" s="29">
        <v>0</v>
      </c>
      <c r="M258" s="29">
        <v>0</v>
      </c>
      <c r="N258" s="29">
        <v>0</v>
      </c>
      <c r="O258" s="29">
        <v>0</v>
      </c>
      <c r="P258" s="29">
        <v>0</v>
      </c>
      <c r="Q258" s="29">
        <v>0</v>
      </c>
      <c r="R258" s="29">
        <v>0</v>
      </c>
      <c r="S258" s="29">
        <v>0</v>
      </c>
      <c r="T258" s="29">
        <v>0</v>
      </c>
      <c r="U258" s="29">
        <v>0</v>
      </c>
      <c r="V258" s="29">
        <v>0</v>
      </c>
      <c r="W258" s="29">
        <v>0</v>
      </c>
      <c r="X258" s="29">
        <v>0</v>
      </c>
      <c r="Y258" s="29">
        <v>0</v>
      </c>
      <c r="Z258" s="29">
        <v>0</v>
      </c>
      <c r="AA258" s="29">
        <v>0</v>
      </c>
      <c r="AB258" s="29">
        <v>0</v>
      </c>
      <c r="AC258" s="29">
        <v>0</v>
      </c>
      <c r="AD258" s="29">
        <v>624842</v>
      </c>
      <c r="AE258" s="29">
        <v>467588</v>
      </c>
      <c r="AF258" s="29">
        <v>0</v>
      </c>
      <c r="AG258" s="29">
        <v>0</v>
      </c>
      <c r="AH258" s="29">
        <v>0</v>
      </c>
      <c r="AI258" s="29">
        <v>0</v>
      </c>
      <c r="AJ258" s="29">
        <v>0</v>
      </c>
      <c r="AK258" s="29">
        <v>0</v>
      </c>
      <c r="AL258" s="29">
        <v>0</v>
      </c>
      <c r="AM258" s="29">
        <v>0</v>
      </c>
      <c r="AN258" s="29">
        <v>0</v>
      </c>
      <c r="AO258" s="29">
        <v>0</v>
      </c>
      <c r="AP258" s="29">
        <v>0</v>
      </c>
      <c r="AQ258" s="29">
        <v>0</v>
      </c>
      <c r="AR258" s="29">
        <v>0</v>
      </c>
      <c r="AS258" s="29">
        <v>0</v>
      </c>
      <c r="AT258" s="29">
        <v>0</v>
      </c>
      <c r="AU258" s="29">
        <v>0</v>
      </c>
      <c r="AV258" s="29">
        <v>0</v>
      </c>
      <c r="AW258" s="29">
        <v>0</v>
      </c>
      <c r="AX258" s="29">
        <v>0</v>
      </c>
      <c r="AY258" s="29">
        <v>0</v>
      </c>
      <c r="AZ258" s="29">
        <v>0</v>
      </c>
      <c r="BA258" s="29">
        <v>0</v>
      </c>
      <c r="BB258" s="29">
        <v>0</v>
      </c>
      <c r="BC258" s="29">
        <v>0</v>
      </c>
      <c r="BD258" s="180">
        <v>0</v>
      </c>
      <c r="BE258" s="29">
        <v>0</v>
      </c>
      <c r="BF258" s="29">
        <v>0</v>
      </c>
      <c r="BG258" s="29">
        <v>0</v>
      </c>
      <c r="BH258" s="29">
        <v>0</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361">
        <v>0</v>
      </c>
      <c r="CV258" s="189"/>
    </row>
    <row r="259" spans="1:100" ht="63.75" x14ac:dyDescent="0.2">
      <c r="A259" s="4" t="s">
        <v>1029</v>
      </c>
      <c r="B259" s="373" t="s">
        <v>1147</v>
      </c>
      <c r="C259" s="191"/>
      <c r="D259" s="191"/>
      <c r="E259" s="191"/>
      <c r="F259" s="191"/>
      <c r="G259" s="191"/>
      <c r="H259" s="191"/>
      <c r="I259" s="191"/>
      <c r="J259" s="191"/>
      <c r="K259" s="191"/>
      <c r="L259" s="191"/>
      <c r="M259" s="191"/>
      <c r="N259" s="191"/>
      <c r="O259" s="191"/>
      <c r="P259" s="191"/>
      <c r="Q259" s="191"/>
      <c r="R259" s="191"/>
      <c r="S259" s="191"/>
      <c r="T259" s="191"/>
      <c r="U259" s="191"/>
      <c r="V259" s="191"/>
      <c r="W259" s="191"/>
      <c r="X259" s="191"/>
      <c r="Y259" s="191"/>
      <c r="Z259" s="191"/>
      <c r="AA259" s="191"/>
      <c r="AB259" s="191"/>
      <c r="AC259" s="191"/>
      <c r="AD259" s="191"/>
      <c r="AE259" s="191"/>
      <c r="AF259" s="191"/>
      <c r="AG259" s="191"/>
      <c r="AH259" s="191"/>
      <c r="AI259" s="191"/>
      <c r="AJ259" s="191"/>
      <c r="AK259" s="191"/>
      <c r="AL259" s="191"/>
      <c r="AM259" s="191"/>
      <c r="AN259" s="191"/>
      <c r="AO259" s="191"/>
      <c r="AP259" s="191"/>
      <c r="AQ259" s="191"/>
      <c r="AR259" s="191"/>
      <c r="AS259" s="191"/>
      <c r="AT259" s="191"/>
      <c r="AU259" s="191"/>
      <c r="AV259" s="191"/>
      <c r="AW259" s="191"/>
      <c r="AX259" s="191"/>
      <c r="AY259" s="191"/>
      <c r="AZ259" s="191"/>
      <c r="BA259" s="191"/>
      <c r="BB259" s="191"/>
      <c r="BC259" s="191"/>
      <c r="BD259" s="192"/>
      <c r="BE259" s="191"/>
      <c r="BF259" s="191"/>
      <c r="BG259" s="191"/>
      <c r="BH259" s="191"/>
      <c r="BI259" s="191"/>
      <c r="BJ259" s="191"/>
      <c r="BK259" s="191"/>
      <c r="BL259" s="191"/>
      <c r="BM259" s="191"/>
      <c r="BN259" s="191"/>
      <c r="BO259" s="191"/>
      <c r="BP259" s="191"/>
      <c r="BQ259" s="191"/>
      <c r="BR259" s="191"/>
      <c r="BS259" s="191"/>
      <c r="BT259" s="191"/>
      <c r="BU259" s="191"/>
      <c r="BV259" s="191"/>
      <c r="BW259" s="191"/>
      <c r="BX259" s="191"/>
      <c r="BY259" s="191"/>
      <c r="BZ259" s="191"/>
      <c r="CA259" s="191"/>
      <c r="CB259" s="191"/>
      <c r="CC259" s="191"/>
      <c r="CD259" s="191"/>
      <c r="CE259" s="191"/>
      <c r="CF259" s="191"/>
      <c r="CG259" s="191"/>
      <c r="CH259" s="191"/>
      <c r="CI259" s="191"/>
      <c r="CJ259" s="191"/>
      <c r="CK259" s="191"/>
      <c r="CL259" s="191"/>
      <c r="CM259" s="191"/>
      <c r="CN259" s="191"/>
      <c r="CO259" s="191"/>
      <c r="CP259" s="191"/>
      <c r="CQ259" s="191"/>
      <c r="CR259" s="191"/>
      <c r="CS259" s="191"/>
      <c r="CT259" s="191"/>
      <c r="CU259" s="367"/>
      <c r="CV259" s="189"/>
    </row>
    <row r="260" spans="1:100" ht="38.25" x14ac:dyDescent="0.2">
      <c r="A260" s="4" t="s">
        <v>1029</v>
      </c>
      <c r="B260" s="369" t="s">
        <v>1012</v>
      </c>
      <c r="C260" s="84">
        <f>SUM(D260:DX260)</f>
        <v>667569.39</v>
      </c>
      <c r="D260" s="29">
        <v>0</v>
      </c>
      <c r="E260" s="29">
        <v>0</v>
      </c>
      <c r="F260" s="29">
        <v>0</v>
      </c>
      <c r="G260" s="29">
        <v>0</v>
      </c>
      <c r="H260" s="29">
        <v>0</v>
      </c>
      <c r="I260" s="29">
        <v>0</v>
      </c>
      <c r="J260" s="29">
        <v>0</v>
      </c>
      <c r="K260" s="29">
        <v>0</v>
      </c>
      <c r="L260" s="29">
        <v>0</v>
      </c>
      <c r="M260" s="29">
        <v>0</v>
      </c>
      <c r="N260" s="29">
        <v>9569.39</v>
      </c>
      <c r="O260" s="29">
        <v>0</v>
      </c>
      <c r="P260" s="29">
        <v>0</v>
      </c>
      <c r="Q260" s="29">
        <v>0</v>
      </c>
      <c r="R260" s="29">
        <v>0</v>
      </c>
      <c r="S260" s="29">
        <v>0</v>
      </c>
      <c r="T260" s="29">
        <v>0</v>
      </c>
      <c r="U260" s="29">
        <v>0</v>
      </c>
      <c r="V260" s="29">
        <v>530000</v>
      </c>
      <c r="W260" s="29">
        <v>0</v>
      </c>
      <c r="X260" s="29">
        <v>0</v>
      </c>
      <c r="Y260" s="29">
        <v>0</v>
      </c>
      <c r="Z260" s="29">
        <v>128000</v>
      </c>
      <c r="AA260" s="29">
        <v>0</v>
      </c>
      <c r="AB260" s="29">
        <v>0</v>
      </c>
      <c r="AC260" s="29">
        <v>0</v>
      </c>
      <c r="AD260" s="29">
        <v>0</v>
      </c>
      <c r="AE260" s="29">
        <v>0</v>
      </c>
      <c r="AF260" s="29">
        <v>0</v>
      </c>
      <c r="AG260" s="29">
        <v>0</v>
      </c>
      <c r="AH260" s="29">
        <v>0</v>
      </c>
      <c r="AI260" s="29">
        <v>0</v>
      </c>
      <c r="AJ260" s="29">
        <v>0</v>
      </c>
      <c r="AK260" s="29">
        <v>0</v>
      </c>
      <c r="AL260" s="29">
        <v>0</v>
      </c>
      <c r="AM260" s="29">
        <v>0</v>
      </c>
      <c r="AN260" s="29">
        <v>0</v>
      </c>
      <c r="AO260" s="29">
        <v>0</v>
      </c>
      <c r="AP260" s="29">
        <v>0</v>
      </c>
      <c r="AQ260" s="29">
        <v>0</v>
      </c>
      <c r="AR260" s="29">
        <v>0</v>
      </c>
      <c r="AS260" s="29">
        <v>0</v>
      </c>
      <c r="AT260" s="29">
        <v>0</v>
      </c>
      <c r="AU260" s="29">
        <v>0</v>
      </c>
      <c r="AV260" s="29">
        <v>0</v>
      </c>
      <c r="AW260" s="29">
        <v>0</v>
      </c>
      <c r="AX260" s="29">
        <v>0</v>
      </c>
      <c r="AY260" s="29">
        <v>0</v>
      </c>
      <c r="AZ260" s="29">
        <v>0</v>
      </c>
      <c r="BA260" s="29">
        <v>0</v>
      </c>
      <c r="BB260" s="29">
        <v>0</v>
      </c>
      <c r="BC260" s="29">
        <v>0</v>
      </c>
      <c r="BD260" s="180">
        <v>0</v>
      </c>
      <c r="BE260" s="29">
        <v>0</v>
      </c>
      <c r="BF260" s="29">
        <v>0</v>
      </c>
      <c r="BG260" s="29">
        <v>0</v>
      </c>
      <c r="BH260" s="29">
        <v>0</v>
      </c>
      <c r="BI260" s="29">
        <v>0</v>
      </c>
      <c r="BJ260" s="29">
        <v>0</v>
      </c>
      <c r="BK260" s="29">
        <v>0</v>
      </c>
      <c r="BL260" s="29">
        <v>0</v>
      </c>
      <c r="BM260" s="29">
        <v>0</v>
      </c>
      <c r="BN260" s="29">
        <v>0</v>
      </c>
      <c r="BO260" s="29">
        <v>0</v>
      </c>
      <c r="BP260" s="29">
        <v>0</v>
      </c>
      <c r="BQ260" s="29">
        <v>0</v>
      </c>
      <c r="BR260" s="29">
        <v>0</v>
      </c>
      <c r="BS260" s="29">
        <v>0</v>
      </c>
      <c r="BT260" s="29">
        <v>0</v>
      </c>
      <c r="BU260" s="29">
        <v>0</v>
      </c>
      <c r="BV260" s="29">
        <v>0</v>
      </c>
      <c r="BW260" s="29">
        <v>0</v>
      </c>
      <c r="BX260" s="29">
        <v>0</v>
      </c>
      <c r="BY260" s="29">
        <v>0</v>
      </c>
      <c r="BZ260" s="29">
        <v>0</v>
      </c>
      <c r="CA260" s="29">
        <v>0</v>
      </c>
      <c r="CB260" s="29">
        <v>0</v>
      </c>
      <c r="CC260" s="29">
        <v>0</v>
      </c>
      <c r="CD260" s="29">
        <v>0</v>
      </c>
      <c r="CE260" s="29">
        <v>0</v>
      </c>
      <c r="CF260" s="29">
        <v>0</v>
      </c>
      <c r="CG260" s="29">
        <v>0</v>
      </c>
      <c r="CH260" s="29">
        <v>0</v>
      </c>
      <c r="CI260" s="29">
        <v>0</v>
      </c>
      <c r="CJ260" s="29">
        <v>0</v>
      </c>
      <c r="CK260" s="29">
        <v>0</v>
      </c>
      <c r="CL260" s="29">
        <v>0</v>
      </c>
      <c r="CM260" s="29">
        <v>0</v>
      </c>
      <c r="CN260" s="29">
        <v>0</v>
      </c>
      <c r="CO260" s="29">
        <v>0</v>
      </c>
      <c r="CP260" s="29">
        <v>0</v>
      </c>
      <c r="CQ260" s="29">
        <v>0</v>
      </c>
      <c r="CR260" s="29">
        <v>0</v>
      </c>
      <c r="CS260" s="29">
        <v>0</v>
      </c>
      <c r="CT260" s="29">
        <v>0</v>
      </c>
      <c r="CU260" s="361">
        <v>0</v>
      </c>
      <c r="CV260" s="189"/>
    </row>
    <row r="261" spans="1:100" ht="80.25" customHeight="1" x14ac:dyDescent="0.2">
      <c r="A261" s="4" t="s">
        <v>1029</v>
      </c>
      <c r="B261" s="369" t="s">
        <v>1148</v>
      </c>
      <c r="C261" s="84">
        <f>SUM(D261:DX261)</f>
        <v>1797617.6</v>
      </c>
      <c r="D261" s="29">
        <v>1047272.64</v>
      </c>
      <c r="E261" s="29">
        <v>450000</v>
      </c>
      <c r="F261" s="29">
        <v>0</v>
      </c>
      <c r="G261" s="29">
        <v>1750</v>
      </c>
      <c r="H261" s="29">
        <v>0</v>
      </c>
      <c r="I261" s="29">
        <v>0</v>
      </c>
      <c r="J261" s="29">
        <v>0</v>
      </c>
      <c r="K261" s="29">
        <v>0</v>
      </c>
      <c r="L261" s="29">
        <v>0</v>
      </c>
      <c r="M261" s="29">
        <v>0</v>
      </c>
      <c r="N261" s="29">
        <v>89594.96</v>
      </c>
      <c r="O261" s="29">
        <v>0</v>
      </c>
      <c r="P261" s="29">
        <v>0</v>
      </c>
      <c r="Q261" s="29">
        <v>0</v>
      </c>
      <c r="R261" s="29">
        <v>0</v>
      </c>
      <c r="S261" s="29">
        <v>0</v>
      </c>
      <c r="T261" s="29">
        <v>0</v>
      </c>
      <c r="U261" s="29">
        <v>0</v>
      </c>
      <c r="V261" s="29">
        <v>0</v>
      </c>
      <c r="W261" s="29">
        <v>16000</v>
      </c>
      <c r="X261" s="29">
        <v>0</v>
      </c>
      <c r="Y261" s="29">
        <v>0</v>
      </c>
      <c r="Z261" s="29">
        <v>193000</v>
      </c>
      <c r="AA261" s="29">
        <v>0</v>
      </c>
      <c r="AB261" s="29">
        <v>0</v>
      </c>
      <c r="AC261" s="29">
        <v>0</v>
      </c>
      <c r="AD261" s="29">
        <v>0</v>
      </c>
      <c r="AE261" s="29">
        <v>0</v>
      </c>
      <c r="AF261" s="29">
        <v>0</v>
      </c>
      <c r="AG261" s="29">
        <v>0</v>
      </c>
      <c r="AH261" s="29">
        <v>0</v>
      </c>
      <c r="AI261" s="29">
        <v>0</v>
      </c>
      <c r="AJ261" s="29">
        <v>0</v>
      </c>
      <c r="AK261" s="29">
        <v>0</v>
      </c>
      <c r="AL261" s="29">
        <v>0</v>
      </c>
      <c r="AM261" s="29">
        <v>0</v>
      </c>
      <c r="AN261" s="29">
        <v>0</v>
      </c>
      <c r="AO261" s="29">
        <v>0</v>
      </c>
      <c r="AP261" s="29">
        <v>0</v>
      </c>
      <c r="AQ261" s="29">
        <v>0</v>
      </c>
      <c r="AR261" s="29">
        <v>0</v>
      </c>
      <c r="AS261" s="29">
        <v>0</v>
      </c>
      <c r="AT261" s="29">
        <v>0</v>
      </c>
      <c r="AU261" s="29">
        <v>0</v>
      </c>
      <c r="AV261" s="29">
        <v>0</v>
      </c>
      <c r="AW261" s="29">
        <v>0</v>
      </c>
      <c r="AX261" s="29">
        <v>0</v>
      </c>
      <c r="AY261" s="29">
        <v>0</v>
      </c>
      <c r="AZ261" s="29">
        <v>0</v>
      </c>
      <c r="BA261" s="29">
        <v>0</v>
      </c>
      <c r="BB261" s="29">
        <v>0</v>
      </c>
      <c r="BC261" s="29">
        <v>0</v>
      </c>
      <c r="BD261" s="180">
        <v>0</v>
      </c>
      <c r="BE261" s="29">
        <v>0</v>
      </c>
      <c r="BF261" s="29">
        <v>0</v>
      </c>
      <c r="BG261" s="29">
        <v>0</v>
      </c>
      <c r="BH261" s="29">
        <v>0</v>
      </c>
      <c r="BI261" s="29">
        <v>0</v>
      </c>
      <c r="BJ261" s="29">
        <v>0</v>
      </c>
      <c r="BK261" s="29">
        <v>0</v>
      </c>
      <c r="BL261" s="29">
        <v>0</v>
      </c>
      <c r="BM261" s="29">
        <v>0</v>
      </c>
      <c r="BN261" s="29">
        <v>0</v>
      </c>
      <c r="BO261" s="29">
        <v>0</v>
      </c>
      <c r="BP261" s="29">
        <v>0</v>
      </c>
      <c r="BQ261" s="29">
        <v>0</v>
      </c>
      <c r="BR261" s="29">
        <v>0</v>
      </c>
      <c r="BS261" s="29">
        <v>0</v>
      </c>
      <c r="BT261" s="29">
        <v>0</v>
      </c>
      <c r="BU261" s="29">
        <v>0</v>
      </c>
      <c r="BV261" s="29">
        <v>0</v>
      </c>
      <c r="BW261" s="29">
        <v>0</v>
      </c>
      <c r="BX261" s="29">
        <v>0</v>
      </c>
      <c r="BY261" s="29">
        <v>0</v>
      </c>
      <c r="BZ261" s="29">
        <v>0</v>
      </c>
      <c r="CA261" s="29">
        <v>0</v>
      </c>
      <c r="CB261" s="29">
        <v>0</v>
      </c>
      <c r="CC261" s="29">
        <v>0</v>
      </c>
      <c r="CD261" s="29">
        <v>0</v>
      </c>
      <c r="CE261" s="29">
        <v>0</v>
      </c>
      <c r="CF261" s="29">
        <v>0</v>
      </c>
      <c r="CG261" s="29">
        <v>0</v>
      </c>
      <c r="CH261" s="29">
        <v>0</v>
      </c>
      <c r="CI261" s="29">
        <v>0</v>
      </c>
      <c r="CJ261" s="29">
        <v>0</v>
      </c>
      <c r="CK261" s="29">
        <v>0</v>
      </c>
      <c r="CL261" s="29">
        <v>0</v>
      </c>
      <c r="CM261" s="29">
        <v>0</v>
      </c>
      <c r="CN261" s="29">
        <v>0</v>
      </c>
      <c r="CO261" s="29">
        <v>0</v>
      </c>
      <c r="CP261" s="29">
        <v>0</v>
      </c>
      <c r="CQ261" s="29">
        <v>0</v>
      </c>
      <c r="CR261" s="29">
        <v>0</v>
      </c>
      <c r="CS261" s="29">
        <v>0</v>
      </c>
      <c r="CT261" s="29">
        <v>0</v>
      </c>
      <c r="CU261" s="361">
        <v>0</v>
      </c>
      <c r="CV261" s="189"/>
    </row>
    <row r="262" spans="1:100" ht="26.25" thickBot="1" x14ac:dyDescent="0.25">
      <c r="A262" s="3" t="s">
        <v>79</v>
      </c>
      <c r="B262" s="31" t="s">
        <v>95</v>
      </c>
      <c r="C262" s="48">
        <f>SUM(D262:DX262)</f>
        <v>113770340.51000002</v>
      </c>
      <c r="D262" s="32">
        <f t="shared" ref="D262:AI262" si="282">SUM(D183:D261)</f>
        <v>28579400.290000007</v>
      </c>
      <c r="E262" s="32">
        <f t="shared" si="282"/>
        <v>3821238.12</v>
      </c>
      <c r="F262" s="32">
        <f t="shared" si="282"/>
        <v>0</v>
      </c>
      <c r="G262" s="32">
        <f t="shared" si="282"/>
        <v>30905805</v>
      </c>
      <c r="H262" s="32">
        <f t="shared" si="282"/>
        <v>3632154</v>
      </c>
      <c r="I262" s="32">
        <f t="shared" si="282"/>
        <v>3089807.48</v>
      </c>
      <c r="J262" s="32">
        <f t="shared" si="282"/>
        <v>2302500.0099999998</v>
      </c>
      <c r="K262" s="32">
        <f t="shared" si="282"/>
        <v>0</v>
      </c>
      <c r="L262" s="32">
        <f t="shared" si="282"/>
        <v>0</v>
      </c>
      <c r="M262" s="32">
        <f>SUM(M184:M261)</f>
        <v>108729</v>
      </c>
      <c r="N262" s="32">
        <f>SUM(N184:N261)</f>
        <v>9296110.0199999996</v>
      </c>
      <c r="O262" s="32">
        <f t="shared" si="282"/>
        <v>1000000</v>
      </c>
      <c r="P262" s="32">
        <f t="shared" si="282"/>
        <v>940000</v>
      </c>
      <c r="Q262" s="32">
        <f t="shared" si="282"/>
        <v>2149117.7000000002</v>
      </c>
      <c r="R262" s="32">
        <f t="shared" si="282"/>
        <v>75000</v>
      </c>
      <c r="S262" s="32">
        <f t="shared" si="282"/>
        <v>325000</v>
      </c>
      <c r="T262" s="32">
        <f t="shared" si="282"/>
        <v>700000</v>
      </c>
      <c r="U262" s="32">
        <f t="shared" si="282"/>
        <v>0</v>
      </c>
      <c r="V262" s="32">
        <f t="shared" si="282"/>
        <v>530000</v>
      </c>
      <c r="W262" s="32">
        <f t="shared" si="282"/>
        <v>16000</v>
      </c>
      <c r="X262" s="32">
        <f t="shared" si="282"/>
        <v>0</v>
      </c>
      <c r="Y262" s="32">
        <f t="shared" si="282"/>
        <v>0</v>
      </c>
      <c r="Z262" s="32">
        <f t="shared" si="282"/>
        <v>1830870</v>
      </c>
      <c r="AA262" s="32">
        <f t="shared" si="282"/>
        <v>230000</v>
      </c>
      <c r="AB262" s="32">
        <f t="shared" si="282"/>
        <v>0</v>
      </c>
      <c r="AC262" s="32">
        <f t="shared" si="282"/>
        <v>0</v>
      </c>
      <c r="AD262" s="32">
        <f t="shared" si="282"/>
        <v>624842</v>
      </c>
      <c r="AE262" s="32">
        <f t="shared" si="282"/>
        <v>1088988</v>
      </c>
      <c r="AF262" s="32">
        <f t="shared" si="282"/>
        <v>0</v>
      </c>
      <c r="AG262" s="32">
        <f t="shared" si="282"/>
        <v>68519</v>
      </c>
      <c r="AH262" s="32">
        <f t="shared" si="282"/>
        <v>8532</v>
      </c>
      <c r="AI262" s="32">
        <f t="shared" si="282"/>
        <v>373284</v>
      </c>
      <c r="AJ262" s="32">
        <f t="shared" ref="AJ262:BO262" si="283">SUM(AJ183:AJ261)</f>
        <v>0</v>
      </c>
      <c r="AK262" s="32">
        <f t="shared" si="283"/>
        <v>13829</v>
      </c>
      <c r="AL262" s="32">
        <f t="shared" si="283"/>
        <v>23245.87</v>
      </c>
      <c r="AM262" s="32">
        <f t="shared" si="283"/>
        <v>525141.6</v>
      </c>
      <c r="AN262" s="32">
        <f t="shared" si="283"/>
        <v>113735.74999999996</v>
      </c>
      <c r="AO262" s="32">
        <f t="shared" si="283"/>
        <v>12709.28</v>
      </c>
      <c r="AP262" s="32">
        <f t="shared" si="283"/>
        <v>494656</v>
      </c>
      <c r="AQ262" s="32">
        <f t="shared" si="283"/>
        <v>152341.6</v>
      </c>
      <c r="AR262" s="32">
        <f t="shared" si="283"/>
        <v>302090.31</v>
      </c>
      <c r="AS262" s="32">
        <f t="shared" si="283"/>
        <v>770397.48</v>
      </c>
      <c r="AT262" s="32">
        <f t="shared" si="283"/>
        <v>0</v>
      </c>
      <c r="AU262" s="32">
        <f t="shared" si="283"/>
        <v>0</v>
      </c>
      <c r="AV262" s="32">
        <f t="shared" si="283"/>
        <v>0</v>
      </c>
      <c r="AW262" s="32">
        <f t="shared" si="283"/>
        <v>2074980</v>
      </c>
      <c r="AX262" s="32">
        <f t="shared" si="283"/>
        <v>83791</v>
      </c>
      <c r="AY262" s="32">
        <f t="shared" si="283"/>
        <v>0</v>
      </c>
      <c r="AZ262" s="32">
        <f t="shared" si="283"/>
        <v>2595500</v>
      </c>
      <c r="BA262" s="32">
        <f t="shared" si="283"/>
        <v>888250.00000000023</v>
      </c>
      <c r="BB262" s="32">
        <f t="shared" si="283"/>
        <v>1239868</v>
      </c>
      <c r="BC262" s="32">
        <f t="shared" si="283"/>
        <v>523278</v>
      </c>
      <c r="BD262" s="374">
        <f t="shared" si="283"/>
        <v>971742</v>
      </c>
      <c r="BE262" s="32">
        <f t="shared" si="283"/>
        <v>0</v>
      </c>
      <c r="BF262" s="32">
        <f t="shared" si="283"/>
        <v>1208245</v>
      </c>
      <c r="BG262" s="32">
        <f t="shared" si="283"/>
        <v>1000000</v>
      </c>
      <c r="BH262" s="32">
        <f t="shared" si="283"/>
        <v>50000</v>
      </c>
      <c r="BI262" s="32">
        <f t="shared" si="283"/>
        <v>0</v>
      </c>
      <c r="BJ262" s="32">
        <f t="shared" si="283"/>
        <v>1100000</v>
      </c>
      <c r="BK262" s="32">
        <f t="shared" si="283"/>
        <v>0</v>
      </c>
      <c r="BL262" s="32">
        <f t="shared" si="283"/>
        <v>45000</v>
      </c>
      <c r="BM262" s="32">
        <f t="shared" si="283"/>
        <v>0</v>
      </c>
      <c r="BN262" s="32">
        <f t="shared" si="283"/>
        <v>0</v>
      </c>
      <c r="BO262" s="32">
        <f t="shared" si="283"/>
        <v>0</v>
      </c>
      <c r="BP262" s="32">
        <f t="shared" ref="BP262:CU262" si="284">SUM(BP183:BP261)</f>
        <v>0</v>
      </c>
      <c r="BQ262" s="32">
        <f t="shared" si="284"/>
        <v>0</v>
      </c>
      <c r="BR262" s="32">
        <f t="shared" si="284"/>
        <v>0</v>
      </c>
      <c r="BS262" s="32">
        <f t="shared" si="284"/>
        <v>0</v>
      </c>
      <c r="BT262" s="32">
        <f t="shared" si="284"/>
        <v>0</v>
      </c>
      <c r="BU262" s="32">
        <f t="shared" si="284"/>
        <v>0</v>
      </c>
      <c r="BV262" s="32">
        <f t="shared" si="284"/>
        <v>0</v>
      </c>
      <c r="BW262" s="32">
        <f t="shared" si="284"/>
        <v>1629015</v>
      </c>
      <c r="BX262" s="32">
        <f t="shared" si="284"/>
        <v>622804</v>
      </c>
      <c r="BY262" s="32">
        <f t="shared" si="284"/>
        <v>0</v>
      </c>
      <c r="BZ262" s="32">
        <f t="shared" si="284"/>
        <v>0</v>
      </c>
      <c r="CA262" s="32">
        <f t="shared" si="284"/>
        <v>75000</v>
      </c>
      <c r="CB262" s="32">
        <f t="shared" si="284"/>
        <v>210000</v>
      </c>
      <c r="CC262" s="32">
        <f t="shared" si="284"/>
        <v>0</v>
      </c>
      <c r="CD262" s="32">
        <f t="shared" si="284"/>
        <v>45000</v>
      </c>
      <c r="CE262" s="32">
        <f t="shared" si="284"/>
        <v>240000</v>
      </c>
      <c r="CF262" s="32">
        <f t="shared" si="284"/>
        <v>130000</v>
      </c>
      <c r="CG262" s="32">
        <f t="shared" si="284"/>
        <v>288500</v>
      </c>
      <c r="CH262" s="32">
        <f t="shared" si="284"/>
        <v>1369879</v>
      </c>
      <c r="CI262" s="32">
        <f t="shared" si="284"/>
        <v>1342550</v>
      </c>
      <c r="CJ262" s="32">
        <f t="shared" si="284"/>
        <v>1411843</v>
      </c>
      <c r="CK262" s="32">
        <f t="shared" si="284"/>
        <v>99000</v>
      </c>
      <c r="CL262" s="32">
        <f t="shared" si="284"/>
        <v>197052</v>
      </c>
      <c r="CM262" s="32">
        <f t="shared" si="284"/>
        <v>50000</v>
      </c>
      <c r="CN262" s="32">
        <f t="shared" si="284"/>
        <v>0</v>
      </c>
      <c r="CO262" s="32">
        <f t="shared" si="284"/>
        <v>0</v>
      </c>
      <c r="CP262" s="32">
        <f t="shared" si="284"/>
        <v>0</v>
      </c>
      <c r="CQ262" s="32">
        <f t="shared" si="284"/>
        <v>50000</v>
      </c>
      <c r="CR262" s="32">
        <f t="shared" si="284"/>
        <v>125000</v>
      </c>
      <c r="CS262" s="32">
        <f t="shared" si="284"/>
        <v>0</v>
      </c>
      <c r="CT262" s="32">
        <f t="shared" si="284"/>
        <v>0</v>
      </c>
      <c r="CU262" s="375">
        <f t="shared" si="284"/>
        <v>0</v>
      </c>
      <c r="CV262" s="189"/>
    </row>
    <row r="263" spans="1:100" ht="13.5" thickBot="1" x14ac:dyDescent="0.25">
      <c r="A263" s="3"/>
      <c r="B263" s="22"/>
      <c r="C263" s="77"/>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189"/>
    </row>
    <row r="264" spans="1:100" ht="25.5" x14ac:dyDescent="0.2">
      <c r="A264" s="23" t="s">
        <v>80</v>
      </c>
      <c r="B264" s="21" t="str">
        <f>B124</f>
        <v>Spent/Transferred not toward Agency's Comprehensive Strategic Plan</v>
      </c>
      <c r="C264" s="33"/>
      <c r="D264" s="336"/>
      <c r="E264" s="336"/>
      <c r="F264" s="336"/>
      <c r="G264" s="336"/>
      <c r="H264" s="336"/>
      <c r="I264" s="336"/>
      <c r="J264" s="336"/>
      <c r="K264" s="336"/>
      <c r="L264" s="336"/>
      <c r="M264" s="336"/>
      <c r="N264" s="336"/>
      <c r="O264" s="336"/>
      <c r="P264" s="336"/>
      <c r="Q264" s="336"/>
      <c r="R264" s="336"/>
      <c r="S264" s="336"/>
      <c r="T264" s="336"/>
      <c r="U264" s="336"/>
      <c r="V264" s="336"/>
      <c r="W264" s="336"/>
      <c r="X264" s="336"/>
      <c r="Y264" s="336"/>
      <c r="Z264" s="336"/>
      <c r="AA264" s="336"/>
      <c r="AB264" s="336"/>
      <c r="AC264" s="336"/>
      <c r="AD264" s="336"/>
      <c r="AE264" s="336"/>
      <c r="AF264" s="336"/>
      <c r="AG264" s="336"/>
      <c r="AH264" s="336"/>
      <c r="AI264" s="336"/>
      <c r="AJ264" s="336"/>
      <c r="AK264" s="336"/>
      <c r="AL264" s="336"/>
      <c r="AM264" s="336"/>
      <c r="AN264" s="336"/>
      <c r="AO264" s="336"/>
      <c r="AP264" s="336"/>
      <c r="AQ264" s="336"/>
      <c r="AR264" s="336"/>
      <c r="AS264" s="336"/>
      <c r="AT264" s="336"/>
      <c r="AU264" s="336"/>
      <c r="AV264" s="336"/>
      <c r="AW264" s="336"/>
      <c r="AX264" s="336"/>
      <c r="AY264" s="336"/>
      <c r="AZ264" s="336"/>
      <c r="BA264" s="336"/>
      <c r="BB264" s="336"/>
      <c r="BC264" s="336"/>
      <c r="BD264" s="355"/>
      <c r="BE264" s="336"/>
      <c r="BF264" s="336"/>
      <c r="BG264" s="336"/>
      <c r="BH264" s="336"/>
      <c r="BI264" s="336"/>
      <c r="BJ264" s="336"/>
      <c r="BK264" s="336"/>
      <c r="BL264" s="336"/>
      <c r="BM264" s="336"/>
      <c r="BN264" s="336"/>
      <c r="BO264" s="336"/>
      <c r="BP264" s="336"/>
      <c r="BQ264" s="336"/>
      <c r="BR264" s="336"/>
      <c r="BS264" s="336"/>
      <c r="BT264" s="336"/>
      <c r="BU264" s="336"/>
      <c r="BV264" s="336"/>
      <c r="BW264" s="336"/>
      <c r="BX264" s="336"/>
      <c r="BY264" s="336"/>
      <c r="BZ264" s="336"/>
      <c r="CA264" s="336"/>
      <c r="CB264" s="336"/>
      <c r="CC264" s="336"/>
      <c r="CD264" s="336"/>
      <c r="CE264" s="336"/>
      <c r="CF264" s="336"/>
      <c r="CG264" s="336"/>
      <c r="CH264" s="336"/>
      <c r="CI264" s="336"/>
      <c r="CJ264" s="336"/>
      <c r="CK264" s="336"/>
      <c r="CL264" s="336"/>
      <c r="CM264" s="336"/>
      <c r="CN264" s="336"/>
      <c r="CO264" s="336"/>
      <c r="CP264" s="336"/>
      <c r="CQ264" s="336"/>
      <c r="CR264" s="336"/>
      <c r="CS264" s="336"/>
      <c r="CT264" s="336"/>
      <c r="CU264" s="356"/>
      <c r="CV264" s="189"/>
    </row>
    <row r="265" spans="1:100" x14ac:dyDescent="0.2">
      <c r="A265" s="3"/>
      <c r="B265" s="91" t="s">
        <v>1011</v>
      </c>
      <c r="C265" s="55">
        <f>SUM(D265:DX265)</f>
        <v>0</v>
      </c>
      <c r="D265" s="28">
        <v>0</v>
      </c>
      <c r="E265" s="28">
        <v>0</v>
      </c>
      <c r="F265" s="28">
        <v>0</v>
      </c>
      <c r="G265" s="28">
        <v>0</v>
      </c>
      <c r="H265" s="28">
        <v>0</v>
      </c>
      <c r="I265" s="28">
        <v>0</v>
      </c>
      <c r="J265" s="28">
        <v>0</v>
      </c>
      <c r="K265" s="28">
        <v>0</v>
      </c>
      <c r="L265" s="28">
        <v>0</v>
      </c>
      <c r="M265" s="28">
        <v>0</v>
      </c>
      <c r="N265" s="28">
        <v>0</v>
      </c>
      <c r="O265" s="28">
        <v>0</v>
      </c>
      <c r="P265" s="28">
        <v>0</v>
      </c>
      <c r="Q265" s="28">
        <v>0</v>
      </c>
      <c r="R265" s="28">
        <v>0</v>
      </c>
      <c r="S265" s="28">
        <v>0</v>
      </c>
      <c r="T265" s="28">
        <v>0</v>
      </c>
      <c r="U265" s="28">
        <v>0</v>
      </c>
      <c r="V265" s="28">
        <v>0</v>
      </c>
      <c r="W265" s="28">
        <v>0</v>
      </c>
      <c r="X265" s="28">
        <v>0</v>
      </c>
      <c r="Y265" s="28">
        <v>0</v>
      </c>
      <c r="Z265" s="28">
        <v>0</v>
      </c>
      <c r="AA265" s="28">
        <v>0</v>
      </c>
      <c r="AB265" s="28">
        <v>0</v>
      </c>
      <c r="AC265" s="28">
        <v>0</v>
      </c>
      <c r="AD265" s="28">
        <v>0</v>
      </c>
      <c r="AE265" s="28">
        <v>0</v>
      </c>
      <c r="AF265" s="28">
        <v>0</v>
      </c>
      <c r="AG265" s="28">
        <v>0</v>
      </c>
      <c r="AH265" s="28">
        <v>0</v>
      </c>
      <c r="AI265" s="28">
        <v>0</v>
      </c>
      <c r="AJ265" s="28">
        <v>0</v>
      </c>
      <c r="AK265" s="28">
        <v>0</v>
      </c>
      <c r="AL265" s="28">
        <v>0</v>
      </c>
      <c r="AM265" s="28">
        <v>0</v>
      </c>
      <c r="AN265" s="28">
        <v>0</v>
      </c>
      <c r="AO265" s="28">
        <v>0</v>
      </c>
      <c r="AP265" s="28">
        <v>0</v>
      </c>
      <c r="AQ265" s="28">
        <v>0</v>
      </c>
      <c r="AR265" s="28">
        <v>0</v>
      </c>
      <c r="AS265" s="28">
        <v>0</v>
      </c>
      <c r="AT265" s="28">
        <v>0</v>
      </c>
      <c r="AU265" s="28">
        <v>0</v>
      </c>
      <c r="AV265" s="28">
        <v>0</v>
      </c>
      <c r="AW265" s="28">
        <v>0</v>
      </c>
      <c r="AX265" s="28">
        <v>0</v>
      </c>
      <c r="AY265" s="28">
        <v>0</v>
      </c>
      <c r="AZ265" s="28">
        <v>0</v>
      </c>
      <c r="BA265" s="28">
        <v>0</v>
      </c>
      <c r="BB265" s="28">
        <v>0</v>
      </c>
      <c r="BC265" s="28">
        <v>0</v>
      </c>
      <c r="BD265" s="183">
        <v>0</v>
      </c>
      <c r="BE265" s="28">
        <v>0</v>
      </c>
      <c r="BF265" s="28">
        <v>0</v>
      </c>
      <c r="BG265" s="28">
        <v>0</v>
      </c>
      <c r="BH265" s="28">
        <v>0</v>
      </c>
      <c r="BI265" s="28">
        <v>0</v>
      </c>
      <c r="BJ265" s="28">
        <v>0</v>
      </c>
      <c r="BK265" s="28">
        <v>0</v>
      </c>
      <c r="BL265" s="28">
        <v>0</v>
      </c>
      <c r="BM265" s="28">
        <v>0</v>
      </c>
      <c r="BN265" s="28">
        <v>0</v>
      </c>
      <c r="BO265" s="28">
        <v>0</v>
      </c>
      <c r="BP265" s="28">
        <v>0</v>
      </c>
      <c r="BQ265" s="28">
        <v>0</v>
      </c>
      <c r="BR265" s="28">
        <v>0</v>
      </c>
      <c r="BS265" s="28">
        <v>0</v>
      </c>
      <c r="BT265" s="28">
        <v>0</v>
      </c>
      <c r="BU265" s="28">
        <v>0</v>
      </c>
      <c r="BV265" s="28">
        <v>0</v>
      </c>
      <c r="BW265" s="28">
        <v>0</v>
      </c>
      <c r="BX265" s="28">
        <v>0</v>
      </c>
      <c r="BY265" s="28">
        <v>0</v>
      </c>
      <c r="BZ265" s="28">
        <v>0</v>
      </c>
      <c r="CA265" s="28">
        <v>0</v>
      </c>
      <c r="CB265" s="28">
        <v>0</v>
      </c>
      <c r="CC265" s="28">
        <v>0</v>
      </c>
      <c r="CD265" s="28">
        <v>0</v>
      </c>
      <c r="CE265" s="28">
        <v>0</v>
      </c>
      <c r="CF265" s="28">
        <v>0</v>
      </c>
      <c r="CG265" s="28">
        <v>0</v>
      </c>
      <c r="CH265" s="28">
        <v>0</v>
      </c>
      <c r="CI265" s="28">
        <v>0</v>
      </c>
      <c r="CJ265" s="28">
        <v>0</v>
      </c>
      <c r="CK265" s="28">
        <v>0</v>
      </c>
      <c r="CL265" s="28">
        <v>0</v>
      </c>
      <c r="CM265" s="28">
        <v>0</v>
      </c>
      <c r="CN265" s="28">
        <v>0</v>
      </c>
      <c r="CO265" s="28">
        <v>0</v>
      </c>
      <c r="CP265" s="28">
        <v>0</v>
      </c>
      <c r="CQ265" s="28">
        <v>0</v>
      </c>
      <c r="CR265" s="28">
        <v>0</v>
      </c>
      <c r="CS265" s="28">
        <v>0</v>
      </c>
      <c r="CT265" s="28">
        <v>0</v>
      </c>
      <c r="CU265" s="353">
        <v>0</v>
      </c>
      <c r="CV265" s="189"/>
    </row>
    <row r="266" spans="1:100" ht="26.25" thickBot="1" x14ac:dyDescent="0.25">
      <c r="A266" s="3" t="s">
        <v>81</v>
      </c>
      <c r="B266" s="42" t="s">
        <v>96</v>
      </c>
      <c r="C266" s="53">
        <f>SUM(D266:DX266)</f>
        <v>0</v>
      </c>
      <c r="D266" s="43">
        <f t="shared" ref="D266:AI266" si="285">SUM(D265:D265)</f>
        <v>0</v>
      </c>
      <c r="E266" s="43">
        <f t="shared" si="285"/>
        <v>0</v>
      </c>
      <c r="F266" s="43">
        <f t="shared" si="285"/>
        <v>0</v>
      </c>
      <c r="G266" s="43">
        <f t="shared" si="285"/>
        <v>0</v>
      </c>
      <c r="H266" s="43">
        <f t="shared" si="285"/>
        <v>0</v>
      </c>
      <c r="I266" s="43">
        <f t="shared" si="285"/>
        <v>0</v>
      </c>
      <c r="J266" s="43">
        <f t="shared" si="285"/>
        <v>0</v>
      </c>
      <c r="K266" s="43">
        <f t="shared" si="285"/>
        <v>0</v>
      </c>
      <c r="L266" s="43">
        <f t="shared" si="285"/>
        <v>0</v>
      </c>
      <c r="M266" s="43">
        <f t="shared" si="285"/>
        <v>0</v>
      </c>
      <c r="N266" s="43">
        <f t="shared" si="285"/>
        <v>0</v>
      </c>
      <c r="O266" s="43">
        <f t="shared" si="285"/>
        <v>0</v>
      </c>
      <c r="P266" s="43">
        <f t="shared" si="285"/>
        <v>0</v>
      </c>
      <c r="Q266" s="43">
        <f t="shared" si="285"/>
        <v>0</v>
      </c>
      <c r="R266" s="43">
        <f t="shared" si="285"/>
        <v>0</v>
      </c>
      <c r="S266" s="43">
        <f t="shared" si="285"/>
        <v>0</v>
      </c>
      <c r="T266" s="43">
        <f t="shared" si="285"/>
        <v>0</v>
      </c>
      <c r="U266" s="43">
        <f t="shared" si="285"/>
        <v>0</v>
      </c>
      <c r="V266" s="43">
        <f t="shared" si="285"/>
        <v>0</v>
      </c>
      <c r="W266" s="43">
        <f t="shared" si="285"/>
        <v>0</v>
      </c>
      <c r="X266" s="43">
        <f t="shared" si="285"/>
        <v>0</v>
      </c>
      <c r="Y266" s="43">
        <f t="shared" si="285"/>
        <v>0</v>
      </c>
      <c r="Z266" s="43">
        <f t="shared" si="285"/>
        <v>0</v>
      </c>
      <c r="AA266" s="43">
        <f t="shared" si="285"/>
        <v>0</v>
      </c>
      <c r="AB266" s="43">
        <f t="shared" si="285"/>
        <v>0</v>
      </c>
      <c r="AC266" s="43">
        <f t="shared" si="285"/>
        <v>0</v>
      </c>
      <c r="AD266" s="43">
        <f t="shared" si="285"/>
        <v>0</v>
      </c>
      <c r="AE266" s="43">
        <f t="shared" si="285"/>
        <v>0</v>
      </c>
      <c r="AF266" s="43">
        <f t="shared" si="285"/>
        <v>0</v>
      </c>
      <c r="AG266" s="43">
        <f t="shared" si="285"/>
        <v>0</v>
      </c>
      <c r="AH266" s="43">
        <f t="shared" si="285"/>
        <v>0</v>
      </c>
      <c r="AI266" s="43">
        <f t="shared" si="285"/>
        <v>0</v>
      </c>
      <c r="AJ266" s="43">
        <f t="shared" ref="AJ266:BO266" si="286">SUM(AJ265:AJ265)</f>
        <v>0</v>
      </c>
      <c r="AK266" s="43">
        <f t="shared" si="286"/>
        <v>0</v>
      </c>
      <c r="AL266" s="43">
        <f t="shared" si="286"/>
        <v>0</v>
      </c>
      <c r="AM266" s="43">
        <f t="shared" si="286"/>
        <v>0</v>
      </c>
      <c r="AN266" s="43">
        <f t="shared" si="286"/>
        <v>0</v>
      </c>
      <c r="AO266" s="43">
        <f t="shared" si="286"/>
        <v>0</v>
      </c>
      <c r="AP266" s="43">
        <f t="shared" si="286"/>
        <v>0</v>
      </c>
      <c r="AQ266" s="43">
        <f t="shared" si="286"/>
        <v>0</v>
      </c>
      <c r="AR266" s="43">
        <f t="shared" si="286"/>
        <v>0</v>
      </c>
      <c r="AS266" s="43">
        <f t="shared" si="286"/>
        <v>0</v>
      </c>
      <c r="AT266" s="43">
        <f t="shared" si="286"/>
        <v>0</v>
      </c>
      <c r="AU266" s="43">
        <f t="shared" si="286"/>
        <v>0</v>
      </c>
      <c r="AV266" s="43">
        <f t="shared" si="286"/>
        <v>0</v>
      </c>
      <c r="AW266" s="43">
        <f t="shared" si="286"/>
        <v>0</v>
      </c>
      <c r="AX266" s="43">
        <f t="shared" si="286"/>
        <v>0</v>
      </c>
      <c r="AY266" s="43">
        <f t="shared" si="286"/>
        <v>0</v>
      </c>
      <c r="AZ266" s="43">
        <f t="shared" si="286"/>
        <v>0</v>
      </c>
      <c r="BA266" s="43">
        <f t="shared" si="286"/>
        <v>0</v>
      </c>
      <c r="BB266" s="43">
        <f t="shared" si="286"/>
        <v>0</v>
      </c>
      <c r="BC266" s="43">
        <f t="shared" si="286"/>
        <v>0</v>
      </c>
      <c r="BD266" s="357">
        <f t="shared" si="286"/>
        <v>0</v>
      </c>
      <c r="BE266" s="43">
        <f t="shared" si="286"/>
        <v>0</v>
      </c>
      <c r="BF266" s="43">
        <f t="shared" si="286"/>
        <v>0</v>
      </c>
      <c r="BG266" s="43">
        <f t="shared" si="286"/>
        <v>0</v>
      </c>
      <c r="BH266" s="43">
        <f t="shared" si="286"/>
        <v>0</v>
      </c>
      <c r="BI266" s="43">
        <f t="shared" si="286"/>
        <v>0</v>
      </c>
      <c r="BJ266" s="43">
        <f t="shared" si="286"/>
        <v>0</v>
      </c>
      <c r="BK266" s="43">
        <f t="shared" si="286"/>
        <v>0</v>
      </c>
      <c r="BL266" s="43">
        <f t="shared" si="286"/>
        <v>0</v>
      </c>
      <c r="BM266" s="43">
        <f t="shared" si="286"/>
        <v>0</v>
      </c>
      <c r="BN266" s="43">
        <f t="shared" si="286"/>
        <v>0</v>
      </c>
      <c r="BO266" s="43">
        <f t="shared" si="286"/>
        <v>0</v>
      </c>
      <c r="BP266" s="43">
        <f t="shared" ref="BP266:CU266" si="287">SUM(BP265:BP265)</f>
        <v>0</v>
      </c>
      <c r="BQ266" s="43">
        <f t="shared" si="287"/>
        <v>0</v>
      </c>
      <c r="BR266" s="43">
        <f t="shared" si="287"/>
        <v>0</v>
      </c>
      <c r="BS266" s="43">
        <f t="shared" si="287"/>
        <v>0</v>
      </c>
      <c r="BT266" s="43">
        <f t="shared" si="287"/>
        <v>0</v>
      </c>
      <c r="BU266" s="43">
        <f t="shared" si="287"/>
        <v>0</v>
      </c>
      <c r="BV266" s="43">
        <f t="shared" si="287"/>
        <v>0</v>
      </c>
      <c r="BW266" s="43">
        <f t="shared" si="287"/>
        <v>0</v>
      </c>
      <c r="BX266" s="43">
        <f t="shared" si="287"/>
        <v>0</v>
      </c>
      <c r="BY266" s="43">
        <f t="shared" si="287"/>
        <v>0</v>
      </c>
      <c r="BZ266" s="43">
        <f t="shared" si="287"/>
        <v>0</v>
      </c>
      <c r="CA266" s="43">
        <f t="shared" si="287"/>
        <v>0</v>
      </c>
      <c r="CB266" s="43">
        <f t="shared" si="287"/>
        <v>0</v>
      </c>
      <c r="CC266" s="43">
        <f t="shared" si="287"/>
        <v>0</v>
      </c>
      <c r="CD266" s="43">
        <f t="shared" si="287"/>
        <v>0</v>
      </c>
      <c r="CE266" s="43">
        <f t="shared" si="287"/>
        <v>0</v>
      </c>
      <c r="CF266" s="43">
        <f t="shared" si="287"/>
        <v>0</v>
      </c>
      <c r="CG266" s="43">
        <f t="shared" si="287"/>
        <v>0</v>
      </c>
      <c r="CH266" s="43">
        <f t="shared" si="287"/>
        <v>0</v>
      </c>
      <c r="CI266" s="43">
        <f t="shared" si="287"/>
        <v>0</v>
      </c>
      <c r="CJ266" s="43">
        <f t="shared" si="287"/>
        <v>0</v>
      </c>
      <c r="CK266" s="43">
        <f t="shared" si="287"/>
        <v>0</v>
      </c>
      <c r="CL266" s="43">
        <f t="shared" si="287"/>
        <v>0</v>
      </c>
      <c r="CM266" s="43">
        <f t="shared" si="287"/>
        <v>0</v>
      </c>
      <c r="CN266" s="43">
        <f t="shared" si="287"/>
        <v>0</v>
      </c>
      <c r="CO266" s="43">
        <f t="shared" si="287"/>
        <v>0</v>
      </c>
      <c r="CP266" s="43">
        <f t="shared" si="287"/>
        <v>0</v>
      </c>
      <c r="CQ266" s="43">
        <f t="shared" si="287"/>
        <v>0</v>
      </c>
      <c r="CR266" s="43">
        <f t="shared" si="287"/>
        <v>0</v>
      </c>
      <c r="CS266" s="43">
        <f t="shared" si="287"/>
        <v>0</v>
      </c>
      <c r="CT266" s="43">
        <f t="shared" si="287"/>
        <v>0</v>
      </c>
      <c r="CU266" s="358">
        <f t="shared" si="287"/>
        <v>0</v>
      </c>
      <c r="CV266" s="189"/>
    </row>
    <row r="267" spans="1:100" ht="13.5" thickBot="1" x14ac:dyDescent="0.25">
      <c r="A267" s="23"/>
      <c r="B267" s="11"/>
      <c r="C267" s="71"/>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c r="CS267" s="9"/>
      <c r="CT267" s="9"/>
      <c r="CU267" s="9"/>
      <c r="CV267" s="189"/>
    </row>
    <row r="268" spans="1:100" s="105" customFormat="1" ht="38.25" hidden="1" outlineLevel="1" x14ac:dyDescent="0.2">
      <c r="A268" s="23"/>
      <c r="B268" s="11"/>
      <c r="C268" s="71"/>
      <c r="D268" s="164" t="s">
        <v>210</v>
      </c>
      <c r="E268" s="164" t="s">
        <v>210</v>
      </c>
      <c r="F268" s="164" t="s">
        <v>210</v>
      </c>
      <c r="G268" s="164" t="s">
        <v>210</v>
      </c>
      <c r="H268" s="164" t="s">
        <v>210</v>
      </c>
      <c r="I268" s="164" t="s">
        <v>210</v>
      </c>
      <c r="J268" s="164" t="s">
        <v>210</v>
      </c>
      <c r="K268" s="164" t="s">
        <v>210</v>
      </c>
      <c r="L268" s="164" t="s">
        <v>210</v>
      </c>
      <c r="M268" s="164" t="s">
        <v>210</v>
      </c>
      <c r="N268" s="164" t="s">
        <v>210</v>
      </c>
      <c r="O268" s="156" t="s">
        <v>1062</v>
      </c>
      <c r="P268" s="156" t="s">
        <v>1062</v>
      </c>
      <c r="Q268" s="156" t="s">
        <v>1062</v>
      </c>
      <c r="R268" s="156" t="s">
        <v>1062</v>
      </c>
      <c r="S268" s="156" t="s">
        <v>1062</v>
      </c>
      <c r="T268" s="156" t="s">
        <v>1062</v>
      </c>
      <c r="U268" s="157" t="s">
        <v>1063</v>
      </c>
      <c r="V268" s="157" t="s">
        <v>1063</v>
      </c>
      <c r="W268" s="157" t="s">
        <v>1063</v>
      </c>
      <c r="X268" s="157" t="s">
        <v>1063</v>
      </c>
      <c r="Y268" s="157" t="s">
        <v>1063</v>
      </c>
      <c r="Z268" s="157" t="s">
        <v>1063</v>
      </c>
      <c r="AA268" s="157" t="s">
        <v>1063</v>
      </c>
      <c r="AB268" s="157" t="s">
        <v>1063</v>
      </c>
      <c r="AC268" s="157" t="s">
        <v>1063</v>
      </c>
      <c r="AD268" s="157" t="s">
        <v>1063</v>
      </c>
      <c r="AE268" s="157" t="s">
        <v>1063</v>
      </c>
      <c r="AF268" s="157" t="s">
        <v>1063</v>
      </c>
      <c r="AG268" s="157" t="s">
        <v>1063</v>
      </c>
      <c r="AH268" s="157" t="s">
        <v>1063</v>
      </c>
      <c r="AI268" s="157" t="s">
        <v>1063</v>
      </c>
      <c r="AJ268" s="157" t="s">
        <v>1063</v>
      </c>
      <c r="AK268" s="157" t="s">
        <v>1063</v>
      </c>
      <c r="AL268" s="158" t="s">
        <v>1064</v>
      </c>
      <c r="AM268" s="158" t="s">
        <v>1064</v>
      </c>
      <c r="AN268" s="158" t="s">
        <v>1064</v>
      </c>
      <c r="AO268" s="158" t="s">
        <v>1064</v>
      </c>
      <c r="AP268" s="158" t="s">
        <v>1064</v>
      </c>
      <c r="AQ268" s="158" t="s">
        <v>1064</v>
      </c>
      <c r="AR268" s="158" t="s">
        <v>1064</v>
      </c>
      <c r="AS268" s="158" t="s">
        <v>1064</v>
      </c>
      <c r="AT268" s="158" t="s">
        <v>1064</v>
      </c>
      <c r="AU268" s="158" t="s">
        <v>1064</v>
      </c>
      <c r="AV268" s="158" t="s">
        <v>1064</v>
      </c>
      <c r="AW268" s="159" t="s">
        <v>1065</v>
      </c>
      <c r="AX268" s="159" t="s">
        <v>1065</v>
      </c>
      <c r="AY268" s="159" t="s">
        <v>1065</v>
      </c>
      <c r="AZ268" s="159" t="s">
        <v>1065</v>
      </c>
      <c r="BA268" s="159" t="s">
        <v>1065</v>
      </c>
      <c r="BB268" s="159" t="s">
        <v>1065</v>
      </c>
      <c r="BC268" s="159" t="s">
        <v>1065</v>
      </c>
      <c r="BD268" s="160" t="s">
        <v>456</v>
      </c>
      <c r="BE268" s="160" t="s">
        <v>456</v>
      </c>
      <c r="BF268" s="160" t="s">
        <v>456</v>
      </c>
      <c r="BG268" s="160" t="s">
        <v>456</v>
      </c>
      <c r="BH268" s="160" t="s">
        <v>456</v>
      </c>
      <c r="BI268" s="160" t="s">
        <v>456</v>
      </c>
      <c r="BJ268" s="160" t="s">
        <v>456</v>
      </c>
      <c r="BK268" s="160" t="s">
        <v>456</v>
      </c>
      <c r="BL268" s="160" t="s">
        <v>456</v>
      </c>
      <c r="BM268" s="160" t="s">
        <v>456</v>
      </c>
      <c r="BN268" s="160" t="s">
        <v>456</v>
      </c>
      <c r="BO268" s="160" t="s">
        <v>456</v>
      </c>
      <c r="BP268" s="160" t="s">
        <v>456</v>
      </c>
      <c r="BQ268" s="160" t="s">
        <v>456</v>
      </c>
      <c r="BR268" s="160" t="s">
        <v>456</v>
      </c>
      <c r="BS268" s="160" t="s">
        <v>456</v>
      </c>
      <c r="BT268" s="160" t="s">
        <v>456</v>
      </c>
      <c r="BU268" s="160" t="s">
        <v>456</v>
      </c>
      <c r="BV268" s="160" t="s">
        <v>456</v>
      </c>
      <c r="BW268" s="160" t="s">
        <v>456</v>
      </c>
      <c r="BX268" s="160" t="s">
        <v>456</v>
      </c>
      <c r="BY268" s="160" t="s">
        <v>456</v>
      </c>
      <c r="BZ268" s="160" t="s">
        <v>456</v>
      </c>
      <c r="CA268" s="160" t="s">
        <v>456</v>
      </c>
      <c r="CB268" s="160" t="s">
        <v>456</v>
      </c>
      <c r="CC268" s="160" t="s">
        <v>456</v>
      </c>
      <c r="CD268" s="160" t="s">
        <v>456</v>
      </c>
      <c r="CE268" s="160" t="s">
        <v>456</v>
      </c>
      <c r="CF268" s="160" t="s">
        <v>456</v>
      </c>
      <c r="CG268" s="160" t="s">
        <v>456</v>
      </c>
      <c r="CH268" s="160" t="s">
        <v>456</v>
      </c>
      <c r="CI268" s="160" t="s">
        <v>456</v>
      </c>
      <c r="CJ268" s="160" t="s">
        <v>456</v>
      </c>
      <c r="CK268" s="160" t="s">
        <v>456</v>
      </c>
      <c r="CL268" s="160" t="s">
        <v>456</v>
      </c>
      <c r="CM268" s="160" t="s">
        <v>456</v>
      </c>
      <c r="CN268" s="160" t="s">
        <v>456</v>
      </c>
      <c r="CO268" s="160" t="s">
        <v>456</v>
      </c>
      <c r="CP268" s="160" t="s">
        <v>456</v>
      </c>
      <c r="CQ268" s="160" t="s">
        <v>456</v>
      </c>
      <c r="CR268" s="160" t="s">
        <v>456</v>
      </c>
      <c r="CS268" s="160" t="s">
        <v>456</v>
      </c>
      <c r="CT268" s="160" t="s">
        <v>456</v>
      </c>
      <c r="CU268" s="160" t="s">
        <v>456</v>
      </c>
      <c r="CV268" s="189"/>
    </row>
    <row r="269" spans="1:100" s="10" customFormat="1" ht="27" customHeight="1" collapsed="1" x14ac:dyDescent="0.2">
      <c r="A269" s="23"/>
      <c r="B269" s="24" t="str">
        <f>B129</f>
        <v>Appropriations and Authorizations remaining at end of year</v>
      </c>
      <c r="C269" s="161" t="s">
        <v>1070</v>
      </c>
      <c r="D269" s="338" t="s">
        <v>1071</v>
      </c>
      <c r="E269" s="346"/>
      <c r="F269" s="346"/>
      <c r="G269" s="346"/>
      <c r="H269" s="346"/>
      <c r="I269" s="346"/>
      <c r="J269" s="346"/>
      <c r="K269" s="346"/>
      <c r="L269" s="346"/>
      <c r="M269" s="346"/>
      <c r="N269" s="346"/>
      <c r="O269" s="346"/>
      <c r="P269" s="346"/>
      <c r="Q269" s="346"/>
      <c r="R269" s="346"/>
      <c r="S269" s="346"/>
      <c r="T269" s="346"/>
      <c r="U269" s="346"/>
      <c r="V269" s="346"/>
      <c r="W269" s="346"/>
      <c r="X269" s="346"/>
      <c r="Y269" s="346"/>
      <c r="Z269" s="346"/>
      <c r="AA269" s="346"/>
      <c r="AB269" s="346"/>
      <c r="AC269" s="346"/>
      <c r="AD269" s="346"/>
      <c r="AE269" s="346"/>
      <c r="AF269" s="346"/>
      <c r="AG269" s="346"/>
      <c r="AH269" s="346"/>
      <c r="AI269" s="346"/>
      <c r="AJ269" s="346"/>
      <c r="AK269" s="346"/>
      <c r="AL269" s="346"/>
      <c r="AM269" s="346"/>
      <c r="AN269" s="346"/>
      <c r="AO269" s="346"/>
      <c r="AP269" s="346"/>
      <c r="AQ269" s="346"/>
      <c r="AR269" s="346"/>
      <c r="AS269" s="346"/>
      <c r="AT269" s="346"/>
      <c r="AU269" s="346"/>
      <c r="AV269" s="346"/>
      <c r="AW269" s="346"/>
      <c r="AX269" s="346"/>
      <c r="AY269" s="346"/>
      <c r="AZ269" s="346"/>
      <c r="BA269" s="346"/>
      <c r="BB269" s="346"/>
      <c r="BC269" s="346"/>
      <c r="BD269" s="347"/>
      <c r="BE269" s="346"/>
      <c r="BF269" s="346"/>
      <c r="BG269" s="346"/>
      <c r="BH269" s="346"/>
      <c r="BI269" s="346"/>
      <c r="BJ269" s="346"/>
      <c r="BK269" s="346"/>
      <c r="BL269" s="346"/>
      <c r="BM269" s="346"/>
      <c r="BN269" s="346"/>
      <c r="BO269" s="346"/>
      <c r="BP269" s="346"/>
      <c r="BQ269" s="346"/>
      <c r="BR269" s="346"/>
      <c r="BS269" s="346"/>
      <c r="BT269" s="346"/>
      <c r="BU269" s="346"/>
      <c r="BV269" s="346"/>
      <c r="BW269" s="346"/>
      <c r="BX269" s="346"/>
      <c r="BY269" s="346"/>
      <c r="BZ269" s="346"/>
      <c r="CA269" s="346"/>
      <c r="CB269" s="346"/>
      <c r="CC269" s="346"/>
      <c r="CD269" s="346"/>
      <c r="CE269" s="346"/>
      <c r="CF269" s="346"/>
      <c r="CG269" s="346"/>
      <c r="CH269" s="346"/>
      <c r="CI269" s="346"/>
      <c r="CJ269" s="346"/>
      <c r="CK269" s="346"/>
      <c r="CL269" s="346"/>
      <c r="CM269" s="346"/>
      <c r="CN269" s="346"/>
      <c r="CO269" s="346"/>
      <c r="CP269" s="346"/>
      <c r="CQ269" s="346"/>
      <c r="CR269" s="346"/>
      <c r="CS269" s="346"/>
      <c r="CT269" s="346"/>
      <c r="CU269" s="348"/>
      <c r="CV269" s="189"/>
    </row>
    <row r="270" spans="1:100" ht="89.25" x14ac:dyDescent="0.2">
      <c r="A270" s="23" t="s">
        <v>82</v>
      </c>
      <c r="B270" s="35" t="str">
        <f>B130</f>
        <v>Revenue Source</v>
      </c>
      <c r="C270" s="70"/>
      <c r="D270" s="59" t="str">
        <f t="shared" ref="D270:AH270" si="288">D145</f>
        <v xml:space="preserve">General Fund </v>
      </c>
      <c r="E270" s="59" t="str">
        <f t="shared" si="288"/>
        <v xml:space="preserve">General Fund </v>
      </c>
      <c r="F270" s="59" t="str">
        <f t="shared" si="288"/>
        <v>Indirect Cost</v>
      </c>
      <c r="G270" s="59" t="str">
        <f t="shared" si="288"/>
        <v>Federal Awards</v>
      </c>
      <c r="H270" s="59" t="str">
        <f t="shared" si="288"/>
        <v>Federal Awards, construction/land acquisition</v>
      </c>
      <c r="I270" s="59" t="str">
        <f t="shared" si="288"/>
        <v>Non-recurring General Funds</v>
      </c>
      <c r="J270" s="59" t="str">
        <f t="shared" si="288"/>
        <v>Agency Funds</v>
      </c>
      <c r="K270" s="59" t="str">
        <f t="shared" si="288"/>
        <v>3 Year Hunting &amp; Fishing Licenses</v>
      </c>
      <c r="L270" s="59" t="str">
        <f t="shared" si="288"/>
        <v>Gasoline Tax Allocation</v>
      </c>
      <c r="M270" s="59" t="str">
        <f t="shared" si="288"/>
        <v>Portion of Annual Freshwater Fishing license</v>
      </c>
      <c r="N270" s="59" t="str">
        <f t="shared" si="288"/>
        <v>Hunting &amp; Fishing licenses</v>
      </c>
      <c r="O270" s="59" t="str">
        <f t="shared" si="288"/>
        <v>Operation Game Thief/Property Watch, Court Fees, Litter Fines</v>
      </c>
      <c r="P270" s="59" t="str">
        <f t="shared" si="288"/>
        <v>Cash Transfer</v>
      </c>
      <c r="Q270" s="59" t="str">
        <f t="shared" si="288"/>
        <v>Boating Fines; Boat Titling &amp; Registration Fees</v>
      </c>
      <c r="R270" s="59" t="str">
        <f t="shared" si="288"/>
        <v>Cash Transfers</v>
      </c>
      <c r="S270" s="59" t="str">
        <f t="shared" si="288"/>
        <v>Antlerless Deer Tags</v>
      </c>
      <c r="T270" s="59" t="str">
        <f t="shared" si="288"/>
        <v>Shrimp Baiting and Saltwater Licenses</v>
      </c>
      <c r="U270" s="59" t="str">
        <f t="shared" si="288"/>
        <v>Hunting &amp; Fishing Fines</v>
      </c>
      <c r="V270" s="59" t="str">
        <f t="shared" si="288"/>
        <v>Magazine Subscriptions</v>
      </c>
      <c r="W270" s="59" t="str">
        <f t="shared" si="288"/>
        <v>State GIS  Coord, Graphics Services Collector Duck Stamp</v>
      </c>
      <c r="X270" s="59" t="str">
        <f t="shared" si="288"/>
        <v>Indirect Cost Recovery non PR/DJ Grants</v>
      </c>
      <c r="Y270" s="59" t="str">
        <f t="shared" si="288"/>
        <v>Overpayments</v>
      </c>
      <c r="Z270" s="59" t="str">
        <f t="shared" si="288"/>
        <v>Boat Titling &amp; Registration Fees</v>
      </c>
      <c r="AA270" s="59" t="str">
        <f t="shared" si="288"/>
        <v>Operating Contributions</v>
      </c>
      <c r="AB270" s="59" t="str">
        <f t="shared" si="288"/>
        <v>Unrestricted Donations</v>
      </c>
      <c r="AC270" s="59" t="str">
        <f t="shared" si="288"/>
        <v>Gasoline Tax Allocation(0.13)</v>
      </c>
      <c r="AD270" s="59" t="str">
        <f t="shared" si="288"/>
        <v>Cash Transfer</v>
      </c>
      <c r="AE270" s="59" t="str">
        <f t="shared" si="288"/>
        <v>Cash Transfer</v>
      </c>
      <c r="AF270" s="59" t="str">
        <f t="shared" si="288"/>
        <v>Lifetime License Fees</v>
      </c>
      <c r="AG270" s="59" t="str">
        <f t="shared" si="288"/>
        <v>Investment income for fund 46070000</v>
      </c>
      <c r="AH270" s="59" t="str">
        <f t="shared" si="288"/>
        <v>Vendor Fee for  hunting/fishing licenses</v>
      </c>
      <c r="AI270" s="59" t="str">
        <f t="shared" ref="AI270:BN270" si="289">AI145</f>
        <v>Indirect Cost Recovery-PR/DJ Grants</v>
      </c>
      <c r="AJ270" s="59" t="str">
        <f t="shared" si="289"/>
        <v>Investment Income 3 Year SW Licenses</v>
      </c>
      <c r="AK270" s="59" t="str">
        <f t="shared" si="289"/>
        <v>Vendor Fee for   saltwater fishing licenses</v>
      </c>
      <c r="AL270" s="59" t="str">
        <f t="shared" si="289"/>
        <v>Flood Training Registrations, weather certifications, printed products</v>
      </c>
      <c r="AM270" s="59" t="str">
        <f t="shared" si="289"/>
        <v>Cash Transfer</v>
      </c>
      <c r="AN270" s="59" t="str">
        <f t="shared" si="289"/>
        <v>Cash Transfers</v>
      </c>
      <c r="AO270" s="59" t="str">
        <f t="shared" si="289"/>
        <v>Map data, Core Sample logs, mineral rock kits and GIS publications</v>
      </c>
      <c r="AP270" s="59" t="str">
        <f t="shared" si="289"/>
        <v>Revenue passed to USGS for surface water, ground water, water quality station</v>
      </c>
      <c r="AQ270" s="59" t="str">
        <f t="shared" si="289"/>
        <v>Reimbursements for aquatic weed mgmt</v>
      </c>
      <c r="AR270" s="59" t="str">
        <f t="shared" si="289"/>
        <v>Heritage Trust Fund-Document Stamp</v>
      </c>
      <c r="AS270" s="59" t="str">
        <f t="shared" si="289"/>
        <v>Heritage Trust Fund-Document Stamp</v>
      </c>
      <c r="AT270" s="59" t="str">
        <f t="shared" si="289"/>
        <v>Document Stamp Tax portion</v>
      </c>
      <c r="AU270" s="59" t="str">
        <f t="shared" si="289"/>
        <v>Document Stamp Tax portion-Bond Repayment</v>
      </c>
      <c r="AV270" s="59" t="str">
        <f t="shared" si="289"/>
        <v>Donations</v>
      </c>
      <c r="AW270" s="59" t="str">
        <f t="shared" si="289"/>
        <v>CCEHBR Bldg Rent,  Research contracts, Vessel and Motor Pool accts,  Saltwater Pier Tax, Fishing License plate</v>
      </c>
      <c r="AX270" s="59" t="str">
        <f t="shared" si="289"/>
        <v>Heritage Trust Fund-Document Stamp</v>
      </c>
      <c r="AY270" s="59" t="str">
        <f t="shared" si="289"/>
        <v>3 Year Saltwater Fishing Licenses</v>
      </c>
      <c r="AZ270" s="59" t="str">
        <f t="shared" si="289"/>
        <v>Saltwater Recreational Fishing Licenses</v>
      </c>
      <c r="BA270" s="59" t="str">
        <f t="shared" si="289"/>
        <v>Commercial Saltwater licenses; Culture &amp; Mariculture Permit Fees</v>
      </c>
      <c r="BB270" s="59" t="str">
        <f t="shared" si="289"/>
        <v>Morgan Island Rent</v>
      </c>
      <c r="BC270" s="59" t="str">
        <f t="shared" si="289"/>
        <v>Indirect Cost Recovery</v>
      </c>
      <c r="BD270" s="184" t="str">
        <f t="shared" si="289"/>
        <v>Santee Accord Project, US Army COELake Russell Trout, Donations/Contributions</v>
      </c>
      <c r="BE270" s="59" t="str">
        <f t="shared" si="289"/>
        <v>Operating Contributions-Yawkey Foundation</v>
      </c>
      <c r="BF270" s="59" t="str">
        <f t="shared" si="289"/>
        <v>Cash Transfer from SC Conservation Bank</v>
      </c>
      <c r="BG270" s="59" t="str">
        <f t="shared" si="289"/>
        <v>Cash Transfer from SC Conservation Bank</v>
      </c>
      <c r="BH270" s="59" t="str">
        <f t="shared" si="289"/>
        <v>Hydroelectric Relicensing Agreement Settlement</v>
      </c>
      <c r="BI270" s="59" t="str">
        <f t="shared" si="289"/>
        <v>Hydroelectric Relicensing Agreement Settlement-Duke</v>
      </c>
      <c r="BJ270" s="59" t="str">
        <f t="shared" si="289"/>
        <v>Cash from Trust Fund 41257000</v>
      </c>
      <c r="BK270" s="59" t="str">
        <f t="shared" si="289"/>
        <v>Operating Contributions-Yawkey Foundation, Timber Sales</v>
      </c>
      <c r="BL270" s="59" t="str">
        <f t="shared" si="289"/>
        <v>Tax Check Off; License Plate</v>
      </c>
      <c r="BM270" s="59" t="str">
        <f t="shared" si="289"/>
        <v>Bannister Tract Timber, Cooks Mountain, Carolina Heelsplitter</v>
      </c>
      <c r="BN270" s="59" t="str">
        <f t="shared" si="289"/>
        <v>Duke Energy - annual</v>
      </c>
      <c r="BO270" s="59" t="str">
        <f t="shared" ref="BO270:CU270" si="290">BO145</f>
        <v>(long term  project, cash carryforward)</v>
      </c>
      <c r="BP270" s="59" t="str">
        <f t="shared" si="290"/>
        <v>SCANA - annual</v>
      </c>
      <c r="BQ270" s="59" t="str">
        <f t="shared" si="290"/>
        <v>Greenwood County Utility-annual</v>
      </c>
      <c r="BR270" s="59" t="str">
        <f t="shared" si="290"/>
        <v>(long term  project, cash carryforward)</v>
      </c>
      <c r="BS270" s="59" t="str">
        <f t="shared" si="290"/>
        <v>(long term  project, cash carryforward)</v>
      </c>
      <c r="BT270" s="59" t="str">
        <f t="shared" si="290"/>
        <v>(long term  project, cash carryforward)</v>
      </c>
      <c r="BU270" s="59" t="str">
        <f t="shared" si="290"/>
        <v>(long term  project, cash carryforward)</v>
      </c>
      <c r="BV270" s="59" t="str">
        <f t="shared" si="290"/>
        <v xml:space="preserve">Savannah Harbor Expansion Settlement </v>
      </c>
      <c r="BW270" s="59" t="str">
        <f t="shared" si="290"/>
        <v>Heritage Trust Fund-Document Stamp</v>
      </c>
      <c r="BX270" s="59" t="str">
        <f t="shared" si="290"/>
        <v>Cash Transfer from 43950000</v>
      </c>
      <c r="BY270" s="59" t="str">
        <f t="shared" si="290"/>
        <v>Cash Transfer from 43950001</v>
      </c>
      <c r="BZ270" s="59" t="str">
        <f t="shared" si="290"/>
        <v>Cash Transfer from 43950002</v>
      </c>
      <c r="CA270" s="59" t="str">
        <f t="shared" si="290"/>
        <v>Cash Transfer from 43950003</v>
      </c>
      <c r="CB270" s="59" t="str">
        <f t="shared" si="290"/>
        <v>Cash Transfer from 43950005</v>
      </c>
      <c r="CC270" s="59" t="str">
        <f t="shared" si="290"/>
        <v>Cash Transfer from 43950006</v>
      </c>
      <c r="CD270" s="59" t="str">
        <f t="shared" si="290"/>
        <v>Cash Transfer from 43950007</v>
      </c>
      <c r="CE270" s="59" t="str">
        <f t="shared" si="290"/>
        <v>Cash Transfer from 43957008</v>
      </c>
      <c r="CF270" s="59" t="str">
        <f t="shared" si="290"/>
        <v>Cash Transfer from 43950009</v>
      </c>
      <c r="CG270" s="59" t="str">
        <f t="shared" si="290"/>
        <v>Migratory Waterfowl Permit Fees</v>
      </c>
      <c r="CH270" s="59" t="str">
        <f t="shared" si="290"/>
        <v>Individual and Deer Quality Program Tag Fees</v>
      </c>
      <c r="CI270" s="59" t="str">
        <f t="shared" si="290"/>
        <v>Managed Lands  Timber Harvests</v>
      </c>
      <c r="CJ270" s="59" t="str">
        <f t="shared" si="290"/>
        <v>WMA Permit Fees</v>
      </c>
      <c r="CK270" s="59" t="str">
        <f t="shared" si="290"/>
        <v>Black Bear Public Hunt and Tag Fees</v>
      </c>
      <c r="CL270" s="59" t="str">
        <f t="shared" si="290"/>
        <v>Alligator Public Hunt, WMA Hunt and Tag Fees</v>
      </c>
      <c r="CM270" s="59" t="str">
        <f t="shared" si="290"/>
        <v>Grass Carp Certification Fees</v>
      </c>
      <c r="CN270" s="59" t="str">
        <f t="shared" si="290"/>
        <v>Aquaculture Permit Fees</v>
      </c>
      <c r="CO270" s="59" t="str">
        <f t="shared" si="290"/>
        <v>Miscellaneous Wildlife Permit Fees</v>
      </c>
      <c r="CP270" s="59" t="str">
        <f t="shared" si="290"/>
        <v>Public Hunt Application Fees</v>
      </c>
      <c r="CQ270" s="59" t="str">
        <f t="shared" si="290"/>
        <v>Restricted Deer Tag Fee - designated</v>
      </c>
      <c r="CR270" s="59" t="str">
        <f t="shared" si="290"/>
        <v>Annual Freshwater Nonresident License portion</v>
      </c>
      <c r="CS270" s="59" t="str">
        <f t="shared" si="290"/>
        <v>Fur Bearer Licenses and Permits</v>
      </c>
      <c r="CT270" s="59" t="str">
        <f t="shared" si="290"/>
        <v>Shooting Preserve Application Fee</v>
      </c>
      <c r="CU270" s="349" t="str">
        <f t="shared" si="290"/>
        <v>Donations, Timber Harvest</v>
      </c>
      <c r="CV270" s="189"/>
    </row>
    <row r="271" spans="1:100" x14ac:dyDescent="0.2">
      <c r="A271" s="3" t="s">
        <v>83</v>
      </c>
      <c r="B271" s="25" t="str">
        <f>B131</f>
        <v xml:space="preserve">Recurring or one-time? </v>
      </c>
      <c r="C271" s="70"/>
      <c r="D271" s="59" t="str">
        <f t="shared" ref="D271:AH271" si="291">D146</f>
        <v>Recurring</v>
      </c>
      <c r="E271" s="59" t="str">
        <f t="shared" si="291"/>
        <v>One-Time</v>
      </c>
      <c r="F271" s="59" t="str">
        <f t="shared" si="291"/>
        <v>Recurring</v>
      </c>
      <c r="G271" s="59" t="str">
        <f t="shared" si="291"/>
        <v>Recurring</v>
      </c>
      <c r="H271" s="59" t="str">
        <f t="shared" si="291"/>
        <v>One-Time</v>
      </c>
      <c r="I271" s="59" t="str">
        <f t="shared" si="291"/>
        <v>One-time</v>
      </c>
      <c r="J271" s="59" t="str">
        <f t="shared" si="291"/>
        <v>One-Time</v>
      </c>
      <c r="K271" s="59" t="str">
        <f t="shared" si="291"/>
        <v>Recurring</v>
      </c>
      <c r="L271" s="59" t="str">
        <f t="shared" si="291"/>
        <v>Recurring</v>
      </c>
      <c r="M271" s="59" t="str">
        <f t="shared" si="291"/>
        <v>Recurring</v>
      </c>
      <c r="N271" s="59" t="str">
        <f t="shared" si="291"/>
        <v>Recurring</v>
      </c>
      <c r="O271" s="59" t="str">
        <f t="shared" si="291"/>
        <v>Recurring</v>
      </c>
      <c r="P271" s="59" t="str">
        <f t="shared" si="291"/>
        <v>Recurring</v>
      </c>
      <c r="Q271" s="59" t="str">
        <f t="shared" si="291"/>
        <v>Recurring</v>
      </c>
      <c r="R271" s="59" t="str">
        <f t="shared" si="291"/>
        <v>One-Time</v>
      </c>
      <c r="S271" s="59" t="str">
        <f t="shared" si="291"/>
        <v>Recurring</v>
      </c>
      <c r="T271" s="59" t="str">
        <f t="shared" si="291"/>
        <v>Recurring</v>
      </c>
      <c r="U271" s="59" t="str">
        <f t="shared" si="291"/>
        <v>Recurring</v>
      </c>
      <c r="V271" s="59" t="str">
        <f t="shared" si="291"/>
        <v>Recurring</v>
      </c>
      <c r="W271" s="59" t="str">
        <f t="shared" si="291"/>
        <v>Recurring</v>
      </c>
      <c r="X271" s="59" t="str">
        <f t="shared" si="291"/>
        <v>Recurring</v>
      </c>
      <c r="Y271" s="59" t="str">
        <f t="shared" si="291"/>
        <v>Recurring</v>
      </c>
      <c r="Z271" s="59" t="str">
        <f t="shared" si="291"/>
        <v>Recurring</v>
      </c>
      <c r="AA271" s="59" t="str">
        <f t="shared" si="291"/>
        <v>Recurring</v>
      </c>
      <c r="AB271" s="59" t="str">
        <f t="shared" si="291"/>
        <v>Recurring</v>
      </c>
      <c r="AC271" s="59" t="str">
        <f t="shared" si="291"/>
        <v>Recurring</v>
      </c>
      <c r="AD271" s="59" t="str">
        <f t="shared" si="291"/>
        <v>Recurring</v>
      </c>
      <c r="AE271" s="59" t="str">
        <f t="shared" si="291"/>
        <v>Recurring</v>
      </c>
      <c r="AF271" s="59" t="str">
        <f t="shared" si="291"/>
        <v>Recurring</v>
      </c>
      <c r="AG271" s="59" t="str">
        <f t="shared" si="291"/>
        <v>Recurring</v>
      </c>
      <c r="AH271" s="59" t="str">
        <f t="shared" si="291"/>
        <v>Recurring</v>
      </c>
      <c r="AI271" s="59" t="str">
        <f t="shared" ref="AI271:BN271" si="292">AI146</f>
        <v>Recurring</v>
      </c>
      <c r="AJ271" s="59" t="str">
        <f t="shared" si="292"/>
        <v>Recurring</v>
      </c>
      <c r="AK271" s="59" t="str">
        <f t="shared" si="292"/>
        <v>Recurring</v>
      </c>
      <c r="AL271" s="59" t="str">
        <f t="shared" si="292"/>
        <v>Recurring</v>
      </c>
      <c r="AM271" s="59" t="str">
        <f t="shared" si="292"/>
        <v>Recurring</v>
      </c>
      <c r="AN271" s="59" t="str">
        <f t="shared" si="292"/>
        <v>Recurring</v>
      </c>
      <c r="AO271" s="59" t="str">
        <f t="shared" si="292"/>
        <v>Recurring</v>
      </c>
      <c r="AP271" s="59" t="str">
        <f t="shared" si="292"/>
        <v>Recurring</v>
      </c>
      <c r="AQ271" s="59" t="str">
        <f t="shared" si="292"/>
        <v>Recurring</v>
      </c>
      <c r="AR271" s="59" t="str">
        <f t="shared" si="292"/>
        <v>Recurring</v>
      </c>
      <c r="AS271" s="59" t="str">
        <f t="shared" si="292"/>
        <v>Recurring</v>
      </c>
      <c r="AT271" s="59" t="str">
        <f t="shared" si="292"/>
        <v>Recurring</v>
      </c>
      <c r="AU271" s="59" t="str">
        <f t="shared" si="292"/>
        <v>Recurring</v>
      </c>
      <c r="AV271" s="59" t="str">
        <f t="shared" si="292"/>
        <v>Recurring</v>
      </c>
      <c r="AW271" s="59" t="str">
        <f t="shared" si="292"/>
        <v>Recurring</v>
      </c>
      <c r="AX271" s="59" t="str">
        <f t="shared" si="292"/>
        <v>Recurring</v>
      </c>
      <c r="AY271" s="59" t="str">
        <f t="shared" si="292"/>
        <v>Recurring</v>
      </c>
      <c r="AZ271" s="59" t="str">
        <f t="shared" si="292"/>
        <v>Recurring</v>
      </c>
      <c r="BA271" s="59" t="str">
        <f t="shared" si="292"/>
        <v>Recurring</v>
      </c>
      <c r="BB271" s="59" t="str">
        <f t="shared" si="292"/>
        <v>Recurring</v>
      </c>
      <c r="BC271" s="59" t="str">
        <f t="shared" si="292"/>
        <v>Recurring</v>
      </c>
      <c r="BD271" s="184" t="str">
        <f t="shared" si="292"/>
        <v>Recurring</v>
      </c>
      <c r="BE271" s="59" t="str">
        <f t="shared" si="292"/>
        <v>Recurring</v>
      </c>
      <c r="BF271" s="59" t="str">
        <f t="shared" si="292"/>
        <v>Recurring</v>
      </c>
      <c r="BG271" s="59" t="str">
        <f t="shared" si="292"/>
        <v>Recurring</v>
      </c>
      <c r="BH271" s="59" t="str">
        <f t="shared" si="292"/>
        <v>One-time</v>
      </c>
      <c r="BI271" s="59" t="str">
        <f t="shared" si="292"/>
        <v>One-time</v>
      </c>
      <c r="BJ271" s="59" t="str">
        <f t="shared" si="292"/>
        <v>Recurring</v>
      </c>
      <c r="BK271" s="59" t="str">
        <f t="shared" si="292"/>
        <v>Recurring</v>
      </c>
      <c r="BL271" s="59" t="str">
        <f t="shared" si="292"/>
        <v>Recurring</v>
      </c>
      <c r="BM271" s="59" t="str">
        <f t="shared" si="292"/>
        <v>One-time</v>
      </c>
      <c r="BN271" s="59" t="str">
        <f t="shared" si="292"/>
        <v>One-time</v>
      </c>
      <c r="BO271" s="59" t="str">
        <f t="shared" ref="BO271:CU271" si="293">BO146</f>
        <v>One-time</v>
      </c>
      <c r="BP271" s="59" t="str">
        <f t="shared" si="293"/>
        <v>One-time</v>
      </c>
      <c r="BQ271" s="59" t="str">
        <f t="shared" si="293"/>
        <v>One-time</v>
      </c>
      <c r="BR271" s="59" t="str">
        <f t="shared" si="293"/>
        <v>One-time</v>
      </c>
      <c r="BS271" s="59" t="str">
        <f t="shared" si="293"/>
        <v>One-time</v>
      </c>
      <c r="BT271" s="59" t="str">
        <f t="shared" si="293"/>
        <v>One-time</v>
      </c>
      <c r="BU271" s="59" t="str">
        <f t="shared" si="293"/>
        <v>One-time</v>
      </c>
      <c r="BV271" s="59" t="str">
        <f t="shared" si="293"/>
        <v>One-time</v>
      </c>
      <c r="BW271" s="59" t="str">
        <f t="shared" si="293"/>
        <v>Recurring</v>
      </c>
      <c r="BX271" s="59" t="str">
        <f t="shared" si="293"/>
        <v>Recurring</v>
      </c>
      <c r="BY271" s="59" t="str">
        <f t="shared" si="293"/>
        <v>Recurring</v>
      </c>
      <c r="BZ271" s="59" t="str">
        <f t="shared" si="293"/>
        <v>Recurring</v>
      </c>
      <c r="CA271" s="59" t="str">
        <f t="shared" si="293"/>
        <v>Recurring</v>
      </c>
      <c r="CB271" s="59" t="str">
        <f t="shared" si="293"/>
        <v>Recurring</v>
      </c>
      <c r="CC271" s="59" t="str">
        <f t="shared" si="293"/>
        <v>Recurring</v>
      </c>
      <c r="CD271" s="59" t="str">
        <f t="shared" si="293"/>
        <v>Recurring</v>
      </c>
      <c r="CE271" s="59" t="str">
        <f t="shared" si="293"/>
        <v>Recurring</v>
      </c>
      <c r="CF271" s="59" t="str">
        <f t="shared" si="293"/>
        <v>Recurring</v>
      </c>
      <c r="CG271" s="59" t="str">
        <f t="shared" si="293"/>
        <v>Recurring</v>
      </c>
      <c r="CH271" s="59" t="str">
        <f t="shared" si="293"/>
        <v>Recurring</v>
      </c>
      <c r="CI271" s="59" t="str">
        <f t="shared" si="293"/>
        <v>Recurring</v>
      </c>
      <c r="CJ271" s="59" t="str">
        <f t="shared" si="293"/>
        <v>Recurring</v>
      </c>
      <c r="CK271" s="59" t="str">
        <f t="shared" si="293"/>
        <v>Recurring</v>
      </c>
      <c r="CL271" s="59" t="str">
        <f t="shared" si="293"/>
        <v>Recurring</v>
      </c>
      <c r="CM271" s="59" t="str">
        <f t="shared" si="293"/>
        <v>Recurring</v>
      </c>
      <c r="CN271" s="59" t="str">
        <f t="shared" si="293"/>
        <v>Recurring</v>
      </c>
      <c r="CO271" s="59" t="str">
        <f t="shared" si="293"/>
        <v>Recurring</v>
      </c>
      <c r="CP271" s="59" t="str">
        <f t="shared" si="293"/>
        <v>Recurring</v>
      </c>
      <c r="CQ271" s="59" t="str">
        <f t="shared" si="293"/>
        <v>Recurring</v>
      </c>
      <c r="CR271" s="59" t="str">
        <f t="shared" si="293"/>
        <v>Recurring</v>
      </c>
      <c r="CS271" s="59" t="str">
        <f t="shared" si="293"/>
        <v>Recurring</v>
      </c>
      <c r="CT271" s="59" t="str">
        <f t="shared" si="293"/>
        <v>Recurring</v>
      </c>
      <c r="CU271" s="349" t="str">
        <f t="shared" si="293"/>
        <v>Recurring</v>
      </c>
      <c r="CV271" s="189"/>
    </row>
    <row r="272" spans="1:100" x14ac:dyDescent="0.2">
      <c r="A272" s="3" t="s">
        <v>84</v>
      </c>
      <c r="B272" s="25" t="str">
        <f>B132</f>
        <v>State, Federal, or Other?</v>
      </c>
      <c r="C272" s="70"/>
      <c r="D272" s="59" t="str">
        <f t="shared" ref="D272:AH272" si="294">D147</f>
        <v>State</v>
      </c>
      <c r="E272" s="59" t="str">
        <f t="shared" si="294"/>
        <v>State</v>
      </c>
      <c r="F272" s="59" t="str">
        <f t="shared" si="294"/>
        <v>Federal</v>
      </c>
      <c r="G272" s="59" t="str">
        <f t="shared" si="294"/>
        <v>Federal</v>
      </c>
      <c r="H272" s="59" t="str">
        <f t="shared" si="294"/>
        <v>Federal</v>
      </c>
      <c r="I272" s="59" t="str">
        <f t="shared" si="294"/>
        <v>Other</v>
      </c>
      <c r="J272" s="59" t="str">
        <f t="shared" si="294"/>
        <v>Other</v>
      </c>
      <c r="K272" s="59" t="str">
        <f t="shared" si="294"/>
        <v>Other</v>
      </c>
      <c r="L272" s="59" t="str">
        <f t="shared" si="294"/>
        <v>Other</v>
      </c>
      <c r="M272" s="59" t="str">
        <f t="shared" si="294"/>
        <v>Other</v>
      </c>
      <c r="N272" s="59" t="str">
        <f t="shared" si="294"/>
        <v>Other</v>
      </c>
      <c r="O272" s="59" t="str">
        <f t="shared" si="294"/>
        <v>Other</v>
      </c>
      <c r="P272" s="59" t="str">
        <f t="shared" si="294"/>
        <v>Other</v>
      </c>
      <c r="Q272" s="59" t="str">
        <f t="shared" si="294"/>
        <v>Other</v>
      </c>
      <c r="R272" s="59" t="str">
        <f t="shared" si="294"/>
        <v>Other</v>
      </c>
      <c r="S272" s="59" t="str">
        <f t="shared" si="294"/>
        <v>Other</v>
      </c>
      <c r="T272" s="59" t="str">
        <f t="shared" si="294"/>
        <v>Other</v>
      </c>
      <c r="U272" s="59" t="str">
        <f t="shared" si="294"/>
        <v>Other</v>
      </c>
      <c r="V272" s="59" t="str">
        <f t="shared" si="294"/>
        <v>Other</v>
      </c>
      <c r="W272" s="59" t="str">
        <f t="shared" si="294"/>
        <v>Other</v>
      </c>
      <c r="X272" s="59" t="str">
        <f t="shared" si="294"/>
        <v>Other</v>
      </c>
      <c r="Y272" s="59" t="str">
        <f t="shared" si="294"/>
        <v>Other</v>
      </c>
      <c r="Z272" s="59" t="str">
        <f t="shared" si="294"/>
        <v>Other</v>
      </c>
      <c r="AA272" s="59" t="str">
        <f t="shared" si="294"/>
        <v>Other</v>
      </c>
      <c r="AB272" s="59" t="str">
        <f t="shared" si="294"/>
        <v>Other</v>
      </c>
      <c r="AC272" s="59" t="str">
        <f t="shared" si="294"/>
        <v>Other</v>
      </c>
      <c r="AD272" s="59" t="str">
        <f t="shared" si="294"/>
        <v>Other</v>
      </c>
      <c r="AE272" s="59" t="str">
        <f t="shared" si="294"/>
        <v>Other</v>
      </c>
      <c r="AF272" s="59" t="str">
        <f t="shared" si="294"/>
        <v>Other</v>
      </c>
      <c r="AG272" s="59" t="str">
        <f t="shared" si="294"/>
        <v>Other</v>
      </c>
      <c r="AH272" s="59" t="str">
        <f t="shared" si="294"/>
        <v>Other</v>
      </c>
      <c r="AI272" s="59" t="str">
        <f t="shared" ref="AI272:BN272" si="295">AI147</f>
        <v>Other</v>
      </c>
      <c r="AJ272" s="59" t="str">
        <f t="shared" si="295"/>
        <v>Other</v>
      </c>
      <c r="AK272" s="59" t="str">
        <f t="shared" si="295"/>
        <v>Other</v>
      </c>
      <c r="AL272" s="59" t="str">
        <f t="shared" si="295"/>
        <v>Other</v>
      </c>
      <c r="AM272" s="59" t="str">
        <f t="shared" si="295"/>
        <v>Other</v>
      </c>
      <c r="AN272" s="59" t="str">
        <f t="shared" si="295"/>
        <v>Other</v>
      </c>
      <c r="AO272" s="59" t="str">
        <f t="shared" si="295"/>
        <v>Other</v>
      </c>
      <c r="AP272" s="59" t="str">
        <f t="shared" si="295"/>
        <v>Other</v>
      </c>
      <c r="AQ272" s="59" t="str">
        <f t="shared" si="295"/>
        <v>Other</v>
      </c>
      <c r="AR272" s="59" t="str">
        <f t="shared" si="295"/>
        <v>Other</v>
      </c>
      <c r="AS272" s="59" t="str">
        <f t="shared" si="295"/>
        <v>Other</v>
      </c>
      <c r="AT272" s="59" t="str">
        <f t="shared" si="295"/>
        <v>Other</v>
      </c>
      <c r="AU272" s="59" t="str">
        <f t="shared" si="295"/>
        <v>Other</v>
      </c>
      <c r="AV272" s="59" t="str">
        <f t="shared" si="295"/>
        <v>Other</v>
      </c>
      <c r="AW272" s="59" t="str">
        <f t="shared" si="295"/>
        <v>Other</v>
      </c>
      <c r="AX272" s="59" t="str">
        <f t="shared" si="295"/>
        <v>Other</v>
      </c>
      <c r="AY272" s="59" t="str">
        <f t="shared" si="295"/>
        <v>Other</v>
      </c>
      <c r="AZ272" s="59" t="str">
        <f t="shared" si="295"/>
        <v>Other</v>
      </c>
      <c r="BA272" s="59" t="str">
        <f t="shared" si="295"/>
        <v>Other</v>
      </c>
      <c r="BB272" s="59" t="str">
        <f t="shared" si="295"/>
        <v>Other</v>
      </c>
      <c r="BC272" s="59" t="str">
        <f t="shared" si="295"/>
        <v>Other</v>
      </c>
      <c r="BD272" s="184" t="str">
        <f t="shared" si="295"/>
        <v>Other</v>
      </c>
      <c r="BE272" s="59" t="str">
        <f t="shared" si="295"/>
        <v>Other</v>
      </c>
      <c r="BF272" s="59">
        <f t="shared" si="295"/>
        <v>0</v>
      </c>
      <c r="BG272" s="59">
        <f t="shared" si="295"/>
        <v>0</v>
      </c>
      <c r="BH272" s="59" t="str">
        <f t="shared" si="295"/>
        <v>Other</v>
      </c>
      <c r="BI272" s="59" t="str">
        <f t="shared" si="295"/>
        <v>Other</v>
      </c>
      <c r="BJ272" s="59" t="str">
        <f t="shared" si="295"/>
        <v>Other</v>
      </c>
      <c r="BK272" s="59" t="str">
        <f t="shared" si="295"/>
        <v>Other</v>
      </c>
      <c r="BL272" s="59" t="str">
        <f t="shared" si="295"/>
        <v>Other</v>
      </c>
      <c r="BM272" s="59" t="str">
        <f t="shared" si="295"/>
        <v>Other</v>
      </c>
      <c r="BN272" s="59" t="str">
        <f t="shared" si="295"/>
        <v>Other</v>
      </c>
      <c r="BO272" s="59" t="str">
        <f t="shared" ref="BO272:CU272" si="296">BO147</f>
        <v>Other</v>
      </c>
      <c r="BP272" s="59" t="str">
        <f t="shared" si="296"/>
        <v>Other</v>
      </c>
      <c r="BQ272" s="59" t="str">
        <f t="shared" si="296"/>
        <v>Other</v>
      </c>
      <c r="BR272" s="59" t="str">
        <f t="shared" si="296"/>
        <v>Other</v>
      </c>
      <c r="BS272" s="59" t="str">
        <f t="shared" si="296"/>
        <v>Other</v>
      </c>
      <c r="BT272" s="59" t="str">
        <f t="shared" si="296"/>
        <v>Other</v>
      </c>
      <c r="BU272" s="59" t="str">
        <f t="shared" si="296"/>
        <v>Other</v>
      </c>
      <c r="BV272" s="59" t="str">
        <f t="shared" si="296"/>
        <v>Other</v>
      </c>
      <c r="BW272" s="59" t="str">
        <f t="shared" si="296"/>
        <v>Other</v>
      </c>
      <c r="BX272" s="59" t="str">
        <f t="shared" si="296"/>
        <v>Other</v>
      </c>
      <c r="BY272" s="59" t="str">
        <f t="shared" si="296"/>
        <v>Other</v>
      </c>
      <c r="BZ272" s="59" t="str">
        <f t="shared" si="296"/>
        <v>Other</v>
      </c>
      <c r="CA272" s="59" t="str">
        <f t="shared" si="296"/>
        <v>Other</v>
      </c>
      <c r="CB272" s="59" t="str">
        <f t="shared" si="296"/>
        <v>Other</v>
      </c>
      <c r="CC272" s="59" t="str">
        <f t="shared" si="296"/>
        <v>Other</v>
      </c>
      <c r="CD272" s="59" t="str">
        <f t="shared" si="296"/>
        <v>Other</v>
      </c>
      <c r="CE272" s="59" t="str">
        <f t="shared" si="296"/>
        <v>Other</v>
      </c>
      <c r="CF272" s="59" t="str">
        <f t="shared" si="296"/>
        <v>Other</v>
      </c>
      <c r="CG272" s="59" t="str">
        <f t="shared" si="296"/>
        <v>Other</v>
      </c>
      <c r="CH272" s="59" t="str">
        <f t="shared" si="296"/>
        <v>Other</v>
      </c>
      <c r="CI272" s="59" t="str">
        <f t="shared" si="296"/>
        <v>Other</v>
      </c>
      <c r="CJ272" s="59" t="str">
        <f t="shared" si="296"/>
        <v>Other</v>
      </c>
      <c r="CK272" s="59" t="str">
        <f t="shared" si="296"/>
        <v>Other</v>
      </c>
      <c r="CL272" s="59" t="str">
        <f t="shared" si="296"/>
        <v>Other</v>
      </c>
      <c r="CM272" s="59" t="str">
        <f t="shared" si="296"/>
        <v>Other</v>
      </c>
      <c r="CN272" s="59" t="str">
        <f t="shared" si="296"/>
        <v>Other</v>
      </c>
      <c r="CO272" s="59" t="str">
        <f t="shared" si="296"/>
        <v>Other</v>
      </c>
      <c r="CP272" s="59" t="str">
        <f t="shared" si="296"/>
        <v>Other</v>
      </c>
      <c r="CQ272" s="59" t="str">
        <f t="shared" si="296"/>
        <v>Other</v>
      </c>
      <c r="CR272" s="59" t="str">
        <f t="shared" si="296"/>
        <v>Other</v>
      </c>
      <c r="CS272" s="59" t="str">
        <f t="shared" si="296"/>
        <v>Other</v>
      </c>
      <c r="CT272" s="59" t="str">
        <f t="shared" si="296"/>
        <v>Other</v>
      </c>
      <c r="CU272" s="349" t="str">
        <f t="shared" si="296"/>
        <v>Other</v>
      </c>
      <c r="CV272" s="189"/>
    </row>
    <row r="273" spans="1:100" ht="90" customHeight="1" x14ac:dyDescent="0.2">
      <c r="A273" s="23" t="s">
        <v>85</v>
      </c>
      <c r="B273" s="25" t="str">
        <f>B133</f>
        <v>State Funded Program Description in the General Appropriations Act</v>
      </c>
      <c r="C273" s="70"/>
      <c r="D273" s="38" t="str">
        <f t="shared" ref="D273:AH273" si="297">D163</f>
        <v xml:space="preserve">I.;  II.A.1.;  II.A.3.; II.B.1.; II.D.1.; II.D.3.; II.D.5.; II.E.1.;II.F.1.;  II.F.2.; II.G.1.; II. G.2.     </v>
      </c>
      <c r="E273" s="38" t="str">
        <f t="shared" si="297"/>
        <v xml:space="preserve">Outreach;                  IT Equipment;       Invasive Species;           IT Equipment      Water Resources Operating;           State River Basins Study;  LE &amp; HE Equipment;          Heavy Equipment;                  Spring Stevens Hatchery;                   Wildlife Mgmt Areas;     Surface Water Model; Law Enf Comm Ctr Upgrade; Coastal/Offshore Study;   Drill Rig/Water Truck;  License Term Conv; Upper Coastal Waterfowl Impound; High Resolution Elevation Mapping                            </v>
      </c>
      <c r="F273" s="38" t="str">
        <f t="shared" si="297"/>
        <v xml:space="preserve"> II.E.1.; II.E.2.</v>
      </c>
      <c r="G273" s="38" t="str">
        <f t="shared" si="297"/>
        <v xml:space="preserve">I.;  II.A.1.; II.A.2.; II.A.3.; II.B.2.; II.D.1.; II.D.2.; II.E.1.; II.E.3.   </v>
      </c>
      <c r="H273" s="38" t="str">
        <f t="shared" si="297"/>
        <v>9942-Waddell Ctr Renovation;      9953-Chestnut Ridge Land Acq; 9950-Wateree Range Land Acq;         9946-Liberty Hill Land Acq;         9959-S Fenwick Isl Land Acq;         9966-Wateree Range Renovation</v>
      </c>
      <c r="I273" s="38" t="str">
        <f t="shared" si="297"/>
        <v xml:space="preserve">9907-Cohen Campbell Hatchery;  9942-Waddell Ctr Renovation;       9960-Murphy Isl Dike;                   9962-Cedar Isl Dike;      9963-Samworth   Dike;                              9965-Spring Stevens Hatchery; 9967-Ft Johnson Boat Slip;          9968-Ft Johnson Roof Replacement        </v>
      </c>
      <c r="J273" s="38" t="str">
        <f t="shared" si="297"/>
        <v xml:space="preserve">9907-Cohen Campbell Hatchery;  9947-Jocassee Gorges Land Acq;       9953-Chestnut Ridge land Acq;                   9956-James Island Scarborough Tract;      9945-Sassafras Mtn Observ Platform;    9946-Liberty Hill Land Acq;         9948-Cliff Pitts WMA Land Acq;         9952-Bear Island  Land Acq;          9957-Keowee Tract Land Acq; 9961-Bear Isl Dike   </v>
      </c>
      <c r="K273" s="38" t="str">
        <f t="shared" si="297"/>
        <v>I.</v>
      </c>
      <c r="L273" s="38" t="str">
        <f t="shared" si="297"/>
        <v>II.B.1.</v>
      </c>
      <c r="M273" s="38" t="str">
        <f t="shared" si="297"/>
        <v>II.C.3.;  II.D.1.; II.D.4.; II.E.1.;  II.F.1.</v>
      </c>
      <c r="N273" s="38" t="str">
        <f t="shared" si="297"/>
        <v xml:space="preserve">I.;  II.A.1.; II.A.2.; II.A.3.; II.B.2.; II.D.1.; II.D.2.; II.E.1.; II.E.3.   </v>
      </c>
      <c r="O273" s="38" t="str">
        <f t="shared" si="297"/>
        <v>II.E.1.</v>
      </c>
      <c r="P273" s="38" t="str">
        <f t="shared" si="297"/>
        <v>II.E.1.;   II.E.3.</v>
      </c>
      <c r="Q273" s="38" t="str">
        <f t="shared" si="297"/>
        <v>II.E.1.;   II.E.3.</v>
      </c>
      <c r="R273" s="38" t="str">
        <f t="shared" si="297"/>
        <v xml:space="preserve">II.E.1. </v>
      </c>
      <c r="S273" s="38" t="str">
        <f t="shared" si="297"/>
        <v>II.E.1.; II.E.3.</v>
      </c>
      <c r="T273" s="38" t="str">
        <f t="shared" si="297"/>
        <v>II.E.1.</v>
      </c>
      <c r="U273" s="38" t="str">
        <f t="shared" si="297"/>
        <v>II.C.3.</v>
      </c>
      <c r="V273" s="38" t="str">
        <f t="shared" si="297"/>
        <v>II.A.2.</v>
      </c>
      <c r="W273" s="38" t="str">
        <f t="shared" si="297"/>
        <v>I.; II.A.1.; II.A.3.</v>
      </c>
      <c r="X273" s="38" t="str">
        <f t="shared" si="297"/>
        <v>I.</v>
      </c>
      <c r="Y273" s="38" t="str">
        <f t="shared" si="297"/>
        <v>II.B.1</v>
      </c>
      <c r="Z273" s="38" t="str">
        <f t="shared" si="297"/>
        <v>I.; II.A.1.; II.A.2.; II.A.3.; II.B.1.</v>
      </c>
      <c r="AA273" s="38" t="str">
        <f t="shared" si="297"/>
        <v>II.A.3.</v>
      </c>
      <c r="AB273" s="38" t="str">
        <f t="shared" si="297"/>
        <v>I.</v>
      </c>
      <c r="AC273" s="38" t="str">
        <f t="shared" si="297"/>
        <v>II.C.2.</v>
      </c>
      <c r="AD273" s="38" t="str">
        <f t="shared" si="297"/>
        <v>II.C.1.</v>
      </c>
      <c r="AE273" s="38" t="str">
        <f t="shared" si="297"/>
        <v>II.C.2.</v>
      </c>
      <c r="AF273" s="38" t="str">
        <f t="shared" si="297"/>
        <v>I.</v>
      </c>
      <c r="AG273" s="38" t="str">
        <f t="shared" si="297"/>
        <v>I.; II.B.2.</v>
      </c>
      <c r="AH273" s="38" t="str">
        <f t="shared" si="297"/>
        <v>II.B.2.</v>
      </c>
      <c r="AI273" s="38" t="str">
        <f t="shared" ref="AI273:BN273" si="298">AI163</f>
        <v>I.; II.A.3.</v>
      </c>
      <c r="AJ273" s="38" t="str">
        <f t="shared" si="298"/>
        <v xml:space="preserve"> II.F.1.;  II.F.2.</v>
      </c>
      <c r="AK273" s="38" t="str">
        <f t="shared" si="298"/>
        <v>II.B.2.</v>
      </c>
      <c r="AL273" s="38" t="str">
        <f t="shared" si="298"/>
        <v>II.G.1.; II. G.2.</v>
      </c>
      <c r="AM273" s="38" t="str">
        <f t="shared" si="298"/>
        <v>II.G.1.</v>
      </c>
      <c r="AN273" s="38" t="str">
        <f t="shared" si="298"/>
        <v>II.G.1.</v>
      </c>
      <c r="AO273" s="38" t="str">
        <f t="shared" si="298"/>
        <v>II.G.1.</v>
      </c>
      <c r="AP273" s="38" t="str">
        <f t="shared" si="298"/>
        <v>II.G.1.</v>
      </c>
      <c r="AQ273" s="38" t="str">
        <f t="shared" si="298"/>
        <v>II.G.1.</v>
      </c>
      <c r="AR273" s="38" t="str">
        <f t="shared" si="298"/>
        <v>II.G.3.</v>
      </c>
      <c r="AS273" s="38" t="str">
        <f t="shared" si="298"/>
        <v>II.G.3.</v>
      </c>
      <c r="AT273" s="38" t="str">
        <f t="shared" si="298"/>
        <v>II.G.3.</v>
      </c>
      <c r="AU273" s="38" t="str">
        <f t="shared" si="298"/>
        <v>II.G.3.</v>
      </c>
      <c r="AV273" s="38" t="str">
        <f t="shared" si="298"/>
        <v>II.G.1.</v>
      </c>
      <c r="AW273" s="38" t="str">
        <f t="shared" si="298"/>
        <v xml:space="preserve">II.F.1.; II.F.2.  </v>
      </c>
      <c r="AX273" s="38" t="str">
        <f t="shared" si="298"/>
        <v>II.G.3.</v>
      </c>
      <c r="AY273" s="38" t="str">
        <f t="shared" si="298"/>
        <v>I.</v>
      </c>
      <c r="AZ273" s="38" t="str">
        <f t="shared" si="298"/>
        <v>II.A.3.;   II.F.1.;  II.F.2.</v>
      </c>
      <c r="BA273" s="38" t="str">
        <f t="shared" si="298"/>
        <v>II.B.2.;   II.F.1.;  II.F.2.</v>
      </c>
      <c r="BB273" s="38" t="str">
        <f t="shared" si="298"/>
        <v>II.D.1.;  II.F.1.;   II.F.2.</v>
      </c>
      <c r="BC273" s="38" t="str">
        <f t="shared" si="298"/>
        <v xml:space="preserve"> II.F.1.;  II.F.2.</v>
      </c>
      <c r="BD273" s="178" t="str">
        <f t="shared" si="298"/>
        <v xml:space="preserve">II.D.1.; II.D.2.; II.D.3.; II.D.4.; II.D.5.   </v>
      </c>
      <c r="BE273" s="38" t="str">
        <f t="shared" si="298"/>
        <v>II.D.2.</v>
      </c>
      <c r="BF273" s="38" t="str">
        <f t="shared" si="298"/>
        <v>II.D.1.</v>
      </c>
      <c r="BG273" s="38" t="str">
        <f t="shared" si="298"/>
        <v>II.D.1.</v>
      </c>
      <c r="BH273" s="38" t="str">
        <f t="shared" si="298"/>
        <v>II.D.4.</v>
      </c>
      <c r="BI273" s="38" t="str">
        <f t="shared" si="298"/>
        <v>II.D.1.   II.D.4.</v>
      </c>
      <c r="BJ273" s="38" t="str">
        <f t="shared" si="298"/>
        <v>II.D.2.</v>
      </c>
      <c r="BK273" s="38" t="str">
        <f t="shared" si="298"/>
        <v>II.D.2.</v>
      </c>
      <c r="BL273" s="38" t="str">
        <f t="shared" si="298"/>
        <v>II.D.3.</v>
      </c>
      <c r="BM273" s="38" t="str">
        <f t="shared" si="298"/>
        <v>II.D.1.; II.D.4.</v>
      </c>
      <c r="BN273" s="38" t="str">
        <f t="shared" si="298"/>
        <v>II.D.4.</v>
      </c>
      <c r="BO273" s="38" t="str">
        <f t="shared" ref="BO273:CU273" si="299">BO163</f>
        <v>II.D.4.</v>
      </c>
      <c r="BP273" s="38" t="str">
        <f t="shared" si="299"/>
        <v>II.D.4.</v>
      </c>
      <c r="BQ273" s="38" t="str">
        <f t="shared" si="299"/>
        <v>II.D.4.</v>
      </c>
      <c r="BR273" s="38" t="str">
        <f t="shared" si="299"/>
        <v>II.D.4.</v>
      </c>
      <c r="BS273" s="38" t="str">
        <f t="shared" si="299"/>
        <v>II.D.1.</v>
      </c>
      <c r="BT273" s="38" t="str">
        <f t="shared" si="299"/>
        <v>II.D.1.</v>
      </c>
      <c r="BU273" s="38" t="str">
        <f t="shared" si="299"/>
        <v>II.D.4.</v>
      </c>
      <c r="BV273" s="38" t="str">
        <f t="shared" si="299"/>
        <v>II.D.4.</v>
      </c>
      <c r="BW273" s="38" t="str">
        <f t="shared" si="299"/>
        <v>II.G.3.</v>
      </c>
      <c r="BX273" s="38" t="str">
        <f t="shared" si="299"/>
        <v>II.D.1.; II.D.4.</v>
      </c>
      <c r="BY273" s="38" t="str">
        <f t="shared" si="299"/>
        <v>II.D.4.</v>
      </c>
      <c r="BZ273" s="38" t="str">
        <f t="shared" si="299"/>
        <v>II.D.4.</v>
      </c>
      <c r="CA273" s="38" t="str">
        <f t="shared" si="299"/>
        <v>II.D.4.</v>
      </c>
      <c r="CB273" s="38" t="str">
        <f t="shared" si="299"/>
        <v>II.D.4.</v>
      </c>
      <c r="CC273" s="38" t="str">
        <f t="shared" si="299"/>
        <v>II.D.1.</v>
      </c>
      <c r="CD273" s="38" t="str">
        <f t="shared" si="299"/>
        <v>II.D.1.</v>
      </c>
      <c r="CE273" s="38" t="str">
        <f t="shared" si="299"/>
        <v>II.D.4.</v>
      </c>
      <c r="CF273" s="38" t="str">
        <f t="shared" si="299"/>
        <v>II.D.4.</v>
      </c>
      <c r="CG273" s="38" t="str">
        <f t="shared" si="299"/>
        <v>II.D.2.</v>
      </c>
      <c r="CH273" s="38" t="str">
        <f t="shared" si="299"/>
        <v>II.B.2.; II.D.2.</v>
      </c>
      <c r="CI273" s="38" t="str">
        <f t="shared" si="299"/>
        <v>II.D.1.; II.D.3.</v>
      </c>
      <c r="CJ273" s="38" t="str">
        <f t="shared" si="299"/>
        <v>II.D.1.</v>
      </c>
      <c r="CK273" s="38" t="str">
        <f t="shared" si="299"/>
        <v>II.D.2.</v>
      </c>
      <c r="CL273" s="38" t="str">
        <f t="shared" si="299"/>
        <v>II.D.2.</v>
      </c>
      <c r="CM273" s="38" t="str">
        <f t="shared" si="299"/>
        <v>II.D.4.;  II.D.5.</v>
      </c>
      <c r="CN273" s="38" t="str">
        <f t="shared" si="299"/>
        <v>II.D.4.</v>
      </c>
      <c r="CO273" s="38" t="str">
        <f t="shared" si="299"/>
        <v>II.D.1.</v>
      </c>
      <c r="CP273" s="38" t="str">
        <f t="shared" si="299"/>
        <v>II.D.1.</v>
      </c>
      <c r="CQ273" s="38" t="str">
        <f t="shared" si="299"/>
        <v>II.D.2.</v>
      </c>
      <c r="CR273" s="38" t="str">
        <f t="shared" si="299"/>
        <v>II.D.5.</v>
      </c>
      <c r="CS273" s="38" t="str">
        <f t="shared" si="299"/>
        <v>II.D.2.</v>
      </c>
      <c r="CT273" s="38" t="str">
        <f t="shared" si="299"/>
        <v>II.D.1.</v>
      </c>
      <c r="CU273" s="350" t="str">
        <f t="shared" si="299"/>
        <v>II.D.1.</v>
      </c>
      <c r="CV273" s="189"/>
    </row>
    <row r="274" spans="1:100" ht="25.5" x14ac:dyDescent="0.2">
      <c r="A274" s="3" t="s">
        <v>86</v>
      </c>
      <c r="B274" s="25" t="str">
        <f t="shared" ref="B274:AG274" si="300">B170</f>
        <v xml:space="preserve">Total Appropriated and Authorized (i.e. allowed to spend) by end of 2017-18 (BUDGETED)  </v>
      </c>
      <c r="C274" s="50">
        <f t="shared" si="300"/>
        <v>123781640.61</v>
      </c>
      <c r="D274" s="36">
        <f t="shared" si="300"/>
        <v>28943921</v>
      </c>
      <c r="E274" s="36">
        <f t="shared" si="300"/>
        <v>8449342</v>
      </c>
      <c r="F274" s="36">
        <f t="shared" si="300"/>
        <v>0</v>
      </c>
      <c r="G274" s="36">
        <f t="shared" si="300"/>
        <v>31098135</v>
      </c>
      <c r="H274" s="36">
        <f t="shared" si="300"/>
        <v>3632154.22</v>
      </c>
      <c r="I274" s="36">
        <f t="shared" si="300"/>
        <v>4622145.3499999996</v>
      </c>
      <c r="J274" s="36">
        <f t="shared" si="300"/>
        <v>2302502.04</v>
      </c>
      <c r="K274" s="36">
        <f t="shared" si="300"/>
        <v>0</v>
      </c>
      <c r="L274" s="36">
        <f t="shared" si="300"/>
        <v>0</v>
      </c>
      <c r="M274" s="36">
        <f t="shared" si="300"/>
        <v>134798</v>
      </c>
      <c r="N274" s="36">
        <f t="shared" si="300"/>
        <v>9329055</v>
      </c>
      <c r="O274" s="36">
        <f t="shared" si="300"/>
        <v>1763000</v>
      </c>
      <c r="P274" s="36">
        <f t="shared" si="300"/>
        <v>1037877</v>
      </c>
      <c r="Q274" s="36">
        <f t="shared" si="300"/>
        <v>2149117</v>
      </c>
      <c r="R274" s="36">
        <f t="shared" si="300"/>
        <v>100000</v>
      </c>
      <c r="S274" s="36">
        <f t="shared" si="300"/>
        <v>330000</v>
      </c>
      <c r="T274" s="36">
        <f t="shared" si="300"/>
        <v>705670</v>
      </c>
      <c r="U274" s="36">
        <f t="shared" si="300"/>
        <v>75000</v>
      </c>
      <c r="V274" s="36">
        <f t="shared" si="300"/>
        <v>544500</v>
      </c>
      <c r="W274" s="36">
        <f t="shared" si="300"/>
        <v>153906</v>
      </c>
      <c r="X274" s="36">
        <f t="shared" si="300"/>
        <v>30900</v>
      </c>
      <c r="Y274" s="36">
        <f t="shared" si="300"/>
        <v>0</v>
      </c>
      <c r="Z274" s="36">
        <f t="shared" si="300"/>
        <v>2126518</v>
      </c>
      <c r="AA274" s="36">
        <f t="shared" si="300"/>
        <v>230000</v>
      </c>
      <c r="AB274" s="36">
        <f t="shared" si="300"/>
        <v>0</v>
      </c>
      <c r="AC274" s="36">
        <f t="shared" si="300"/>
        <v>0</v>
      </c>
      <c r="AD274" s="36">
        <f t="shared" si="300"/>
        <v>786424</v>
      </c>
      <c r="AE274" s="36">
        <f t="shared" si="300"/>
        <v>1089011</v>
      </c>
      <c r="AF274" s="36">
        <f t="shared" si="300"/>
        <v>0</v>
      </c>
      <c r="AG274" s="36">
        <f t="shared" si="300"/>
        <v>81269</v>
      </c>
      <c r="AH274" s="36">
        <f t="shared" ref="AH274:BM274" si="301">AH170</f>
        <v>36546</v>
      </c>
      <c r="AI274" s="36">
        <f t="shared" si="301"/>
        <v>511284</v>
      </c>
      <c r="AJ274" s="36">
        <f t="shared" si="301"/>
        <v>0</v>
      </c>
      <c r="AK274" s="36">
        <f t="shared" si="301"/>
        <v>16829</v>
      </c>
      <c r="AL274" s="36">
        <f t="shared" si="301"/>
        <v>106717</v>
      </c>
      <c r="AM274" s="36">
        <f t="shared" si="301"/>
        <v>631648</v>
      </c>
      <c r="AN274" s="36">
        <f t="shared" si="301"/>
        <v>121008</v>
      </c>
      <c r="AO274" s="36">
        <f t="shared" si="301"/>
        <v>20000</v>
      </c>
      <c r="AP274" s="36">
        <f t="shared" si="301"/>
        <v>0</v>
      </c>
      <c r="AQ274" s="36">
        <f t="shared" si="301"/>
        <v>0</v>
      </c>
      <c r="AR274" s="36">
        <f t="shared" si="301"/>
        <v>371881</v>
      </c>
      <c r="AS274" s="36">
        <f t="shared" si="301"/>
        <v>930212</v>
      </c>
      <c r="AT274" s="36">
        <f t="shared" si="301"/>
        <v>0</v>
      </c>
      <c r="AU274" s="36">
        <f t="shared" si="301"/>
        <v>0</v>
      </c>
      <c r="AV274" s="36">
        <f t="shared" si="301"/>
        <v>0</v>
      </c>
      <c r="AW274" s="36">
        <f t="shared" si="301"/>
        <v>2076080</v>
      </c>
      <c r="AX274" s="36">
        <f t="shared" si="301"/>
        <v>83795</v>
      </c>
      <c r="AY274" s="36">
        <f t="shared" si="301"/>
        <v>0</v>
      </c>
      <c r="AZ274" s="36">
        <f t="shared" si="301"/>
        <v>2595500</v>
      </c>
      <c r="BA274" s="36">
        <f t="shared" si="301"/>
        <v>888250</v>
      </c>
      <c r="BB274" s="36">
        <f t="shared" si="301"/>
        <v>1239868</v>
      </c>
      <c r="BC274" s="36">
        <f t="shared" si="301"/>
        <v>523278</v>
      </c>
      <c r="BD274" s="186">
        <f t="shared" si="301"/>
        <v>1452458</v>
      </c>
      <c r="BE274" s="36">
        <f t="shared" si="301"/>
        <v>0</v>
      </c>
      <c r="BF274" s="36">
        <f t="shared" si="301"/>
        <v>1210355</v>
      </c>
      <c r="BG274" s="36">
        <f t="shared" si="301"/>
        <v>1000000</v>
      </c>
      <c r="BH274" s="36">
        <f t="shared" si="301"/>
        <v>108135</v>
      </c>
      <c r="BI274" s="36">
        <f t="shared" si="301"/>
        <v>0</v>
      </c>
      <c r="BJ274" s="36">
        <f t="shared" si="301"/>
        <v>1105326</v>
      </c>
      <c r="BK274" s="36">
        <f t="shared" si="301"/>
        <v>0</v>
      </c>
      <c r="BL274" s="36">
        <f t="shared" si="301"/>
        <v>149262</v>
      </c>
      <c r="BM274" s="36">
        <f t="shared" si="301"/>
        <v>0</v>
      </c>
      <c r="BN274" s="36">
        <f t="shared" ref="BN274:CU274" si="302">BN170</f>
        <v>0</v>
      </c>
      <c r="BO274" s="36">
        <f t="shared" si="302"/>
        <v>0</v>
      </c>
      <c r="BP274" s="36">
        <f t="shared" si="302"/>
        <v>0</v>
      </c>
      <c r="BQ274" s="36">
        <f t="shared" si="302"/>
        <v>0</v>
      </c>
      <c r="BR274" s="36">
        <f t="shared" si="302"/>
        <v>0</v>
      </c>
      <c r="BS274" s="36">
        <f t="shared" si="302"/>
        <v>0</v>
      </c>
      <c r="BT274" s="36">
        <f t="shared" si="302"/>
        <v>0</v>
      </c>
      <c r="BU274" s="36">
        <f t="shared" si="302"/>
        <v>0</v>
      </c>
      <c r="BV274" s="36">
        <f t="shared" si="302"/>
        <v>0</v>
      </c>
      <c r="BW274" s="36">
        <f t="shared" si="302"/>
        <v>1645943</v>
      </c>
      <c r="BX274" s="36">
        <f t="shared" si="302"/>
        <v>786362</v>
      </c>
      <c r="BY274" s="36">
        <f t="shared" si="302"/>
        <v>35369</v>
      </c>
      <c r="BZ274" s="36">
        <f t="shared" si="302"/>
        <v>0</v>
      </c>
      <c r="CA274" s="36">
        <f t="shared" si="302"/>
        <v>75002</v>
      </c>
      <c r="CB274" s="36">
        <f t="shared" si="302"/>
        <v>210026</v>
      </c>
      <c r="CC274" s="36">
        <f t="shared" si="302"/>
        <v>10000</v>
      </c>
      <c r="CD274" s="36">
        <f t="shared" si="302"/>
        <v>112315</v>
      </c>
      <c r="CE274" s="36">
        <f t="shared" si="302"/>
        <v>246407</v>
      </c>
      <c r="CF274" s="36">
        <f t="shared" si="302"/>
        <v>191359</v>
      </c>
      <c r="CG274" s="36">
        <f t="shared" si="302"/>
        <v>339057</v>
      </c>
      <c r="CH274" s="36">
        <f t="shared" si="302"/>
        <v>1369987</v>
      </c>
      <c r="CI274" s="36">
        <f t="shared" si="302"/>
        <v>1638687</v>
      </c>
      <c r="CJ274" s="36">
        <f t="shared" si="302"/>
        <v>1636956</v>
      </c>
      <c r="CK274" s="36">
        <f t="shared" si="302"/>
        <v>99000</v>
      </c>
      <c r="CL274" s="36">
        <f t="shared" si="302"/>
        <v>198200</v>
      </c>
      <c r="CM274" s="36">
        <f t="shared" si="302"/>
        <v>102032</v>
      </c>
      <c r="CN274" s="36">
        <f t="shared" si="302"/>
        <v>0</v>
      </c>
      <c r="CO274" s="36">
        <f t="shared" si="302"/>
        <v>0</v>
      </c>
      <c r="CP274" s="36">
        <f t="shared" si="302"/>
        <v>16161</v>
      </c>
      <c r="CQ274" s="36">
        <f t="shared" si="302"/>
        <v>50000</v>
      </c>
      <c r="CR274" s="36">
        <f t="shared" si="302"/>
        <v>125101</v>
      </c>
      <c r="CS274" s="36">
        <f t="shared" si="302"/>
        <v>0</v>
      </c>
      <c r="CT274" s="36">
        <f t="shared" si="302"/>
        <v>0</v>
      </c>
      <c r="CU274" s="351">
        <f t="shared" si="302"/>
        <v>0</v>
      </c>
      <c r="CV274" s="189"/>
    </row>
    <row r="275" spans="1:100" x14ac:dyDescent="0.2">
      <c r="A275" s="3" t="s">
        <v>87</v>
      </c>
      <c r="B275" s="25" t="s">
        <v>97</v>
      </c>
      <c r="C275" s="50">
        <f t="shared" ref="C275:AH275" si="303">C262</f>
        <v>113770340.51000002</v>
      </c>
      <c r="D275" s="26">
        <f t="shared" si="303"/>
        <v>28579400.290000007</v>
      </c>
      <c r="E275" s="26">
        <f t="shared" si="303"/>
        <v>3821238.12</v>
      </c>
      <c r="F275" s="26">
        <f t="shared" si="303"/>
        <v>0</v>
      </c>
      <c r="G275" s="26">
        <f t="shared" si="303"/>
        <v>30905805</v>
      </c>
      <c r="H275" s="26">
        <f t="shared" si="303"/>
        <v>3632154</v>
      </c>
      <c r="I275" s="26">
        <f t="shared" si="303"/>
        <v>3089807.48</v>
      </c>
      <c r="J275" s="26">
        <f t="shared" si="303"/>
        <v>2302500.0099999998</v>
      </c>
      <c r="K275" s="26">
        <f t="shared" si="303"/>
        <v>0</v>
      </c>
      <c r="L275" s="26">
        <f t="shared" si="303"/>
        <v>0</v>
      </c>
      <c r="M275" s="26">
        <f t="shared" si="303"/>
        <v>108729</v>
      </c>
      <c r="N275" s="26">
        <f t="shared" si="303"/>
        <v>9296110.0199999996</v>
      </c>
      <c r="O275" s="26">
        <f t="shared" si="303"/>
        <v>1000000</v>
      </c>
      <c r="P275" s="26">
        <f t="shared" si="303"/>
        <v>940000</v>
      </c>
      <c r="Q275" s="26">
        <f t="shared" si="303"/>
        <v>2149117.7000000002</v>
      </c>
      <c r="R275" s="26">
        <f t="shared" si="303"/>
        <v>75000</v>
      </c>
      <c r="S275" s="26">
        <f t="shared" si="303"/>
        <v>325000</v>
      </c>
      <c r="T275" s="26">
        <f t="shared" si="303"/>
        <v>700000</v>
      </c>
      <c r="U275" s="26">
        <f t="shared" si="303"/>
        <v>0</v>
      </c>
      <c r="V275" s="26">
        <f t="shared" si="303"/>
        <v>530000</v>
      </c>
      <c r="W275" s="26">
        <f t="shared" si="303"/>
        <v>16000</v>
      </c>
      <c r="X275" s="26">
        <f t="shared" si="303"/>
        <v>0</v>
      </c>
      <c r="Y275" s="26">
        <f t="shared" si="303"/>
        <v>0</v>
      </c>
      <c r="Z275" s="26">
        <f t="shared" si="303"/>
        <v>1830870</v>
      </c>
      <c r="AA275" s="26">
        <f t="shared" si="303"/>
        <v>230000</v>
      </c>
      <c r="AB275" s="26">
        <f t="shared" si="303"/>
        <v>0</v>
      </c>
      <c r="AC275" s="26">
        <f t="shared" si="303"/>
        <v>0</v>
      </c>
      <c r="AD275" s="26">
        <f t="shared" si="303"/>
        <v>624842</v>
      </c>
      <c r="AE275" s="26">
        <f t="shared" si="303"/>
        <v>1088988</v>
      </c>
      <c r="AF275" s="26">
        <f t="shared" si="303"/>
        <v>0</v>
      </c>
      <c r="AG275" s="26">
        <f t="shared" si="303"/>
        <v>68519</v>
      </c>
      <c r="AH275" s="26">
        <f t="shared" si="303"/>
        <v>8532</v>
      </c>
      <c r="AI275" s="26">
        <f t="shared" ref="AI275:BN275" si="304">AI262</f>
        <v>373284</v>
      </c>
      <c r="AJ275" s="26">
        <f t="shared" si="304"/>
        <v>0</v>
      </c>
      <c r="AK275" s="26">
        <f t="shared" si="304"/>
        <v>13829</v>
      </c>
      <c r="AL275" s="26">
        <f t="shared" si="304"/>
        <v>23245.87</v>
      </c>
      <c r="AM275" s="26">
        <f t="shared" si="304"/>
        <v>525141.6</v>
      </c>
      <c r="AN275" s="26">
        <f t="shared" si="304"/>
        <v>113735.74999999996</v>
      </c>
      <c r="AO275" s="26">
        <f t="shared" si="304"/>
        <v>12709.28</v>
      </c>
      <c r="AP275" s="26">
        <f t="shared" si="304"/>
        <v>494656</v>
      </c>
      <c r="AQ275" s="26">
        <f t="shared" si="304"/>
        <v>152341.6</v>
      </c>
      <c r="AR275" s="26">
        <f t="shared" si="304"/>
        <v>302090.31</v>
      </c>
      <c r="AS275" s="26">
        <f t="shared" si="304"/>
        <v>770397.48</v>
      </c>
      <c r="AT275" s="26">
        <f t="shared" si="304"/>
        <v>0</v>
      </c>
      <c r="AU275" s="26">
        <f t="shared" si="304"/>
        <v>0</v>
      </c>
      <c r="AV275" s="26">
        <f t="shared" si="304"/>
        <v>0</v>
      </c>
      <c r="AW275" s="26">
        <f t="shared" si="304"/>
        <v>2074980</v>
      </c>
      <c r="AX275" s="26">
        <f t="shared" si="304"/>
        <v>83791</v>
      </c>
      <c r="AY275" s="26">
        <f t="shared" si="304"/>
        <v>0</v>
      </c>
      <c r="AZ275" s="26">
        <f t="shared" si="304"/>
        <v>2595500</v>
      </c>
      <c r="BA275" s="26">
        <f t="shared" si="304"/>
        <v>888250.00000000023</v>
      </c>
      <c r="BB275" s="26">
        <f t="shared" si="304"/>
        <v>1239868</v>
      </c>
      <c r="BC275" s="26">
        <f t="shared" si="304"/>
        <v>523278</v>
      </c>
      <c r="BD275" s="179">
        <f t="shared" si="304"/>
        <v>971742</v>
      </c>
      <c r="BE275" s="26">
        <f t="shared" si="304"/>
        <v>0</v>
      </c>
      <c r="BF275" s="26">
        <f t="shared" si="304"/>
        <v>1208245</v>
      </c>
      <c r="BG275" s="26">
        <f t="shared" si="304"/>
        <v>1000000</v>
      </c>
      <c r="BH275" s="26">
        <f t="shared" si="304"/>
        <v>50000</v>
      </c>
      <c r="BI275" s="26">
        <f t="shared" si="304"/>
        <v>0</v>
      </c>
      <c r="BJ275" s="26">
        <f t="shared" si="304"/>
        <v>1100000</v>
      </c>
      <c r="BK275" s="26">
        <f t="shared" si="304"/>
        <v>0</v>
      </c>
      <c r="BL275" s="26">
        <f t="shared" si="304"/>
        <v>45000</v>
      </c>
      <c r="BM275" s="26">
        <f t="shared" si="304"/>
        <v>0</v>
      </c>
      <c r="BN275" s="26">
        <f t="shared" si="304"/>
        <v>0</v>
      </c>
      <c r="BO275" s="26">
        <f t="shared" ref="BO275:CU275" si="305">BO262</f>
        <v>0</v>
      </c>
      <c r="BP275" s="26">
        <f t="shared" si="305"/>
        <v>0</v>
      </c>
      <c r="BQ275" s="26">
        <f t="shared" si="305"/>
        <v>0</v>
      </c>
      <c r="BR275" s="26">
        <f t="shared" si="305"/>
        <v>0</v>
      </c>
      <c r="BS275" s="26">
        <f t="shared" si="305"/>
        <v>0</v>
      </c>
      <c r="BT275" s="26">
        <f t="shared" si="305"/>
        <v>0</v>
      </c>
      <c r="BU275" s="26">
        <f t="shared" si="305"/>
        <v>0</v>
      </c>
      <c r="BV275" s="26">
        <f t="shared" si="305"/>
        <v>0</v>
      </c>
      <c r="BW275" s="26">
        <f t="shared" si="305"/>
        <v>1629015</v>
      </c>
      <c r="BX275" s="26">
        <f t="shared" si="305"/>
        <v>622804</v>
      </c>
      <c r="BY275" s="26">
        <f t="shared" si="305"/>
        <v>0</v>
      </c>
      <c r="BZ275" s="26">
        <f t="shared" si="305"/>
        <v>0</v>
      </c>
      <c r="CA275" s="26">
        <f t="shared" si="305"/>
        <v>75000</v>
      </c>
      <c r="CB275" s="26">
        <f t="shared" si="305"/>
        <v>210000</v>
      </c>
      <c r="CC275" s="26">
        <f t="shared" si="305"/>
        <v>0</v>
      </c>
      <c r="CD275" s="26">
        <f t="shared" si="305"/>
        <v>45000</v>
      </c>
      <c r="CE275" s="26">
        <f t="shared" si="305"/>
        <v>240000</v>
      </c>
      <c r="CF275" s="26">
        <f t="shared" si="305"/>
        <v>130000</v>
      </c>
      <c r="CG275" s="26">
        <f t="shared" si="305"/>
        <v>288500</v>
      </c>
      <c r="CH275" s="26">
        <f t="shared" si="305"/>
        <v>1369879</v>
      </c>
      <c r="CI275" s="26">
        <f t="shared" si="305"/>
        <v>1342550</v>
      </c>
      <c r="CJ275" s="26">
        <f t="shared" si="305"/>
        <v>1411843</v>
      </c>
      <c r="CK275" s="26">
        <f t="shared" si="305"/>
        <v>99000</v>
      </c>
      <c r="CL275" s="26">
        <f t="shared" si="305"/>
        <v>197052</v>
      </c>
      <c r="CM275" s="26">
        <f t="shared" si="305"/>
        <v>50000</v>
      </c>
      <c r="CN275" s="26">
        <f t="shared" si="305"/>
        <v>0</v>
      </c>
      <c r="CO275" s="26">
        <f t="shared" si="305"/>
        <v>0</v>
      </c>
      <c r="CP275" s="26">
        <f t="shared" si="305"/>
        <v>0</v>
      </c>
      <c r="CQ275" s="26">
        <f t="shared" si="305"/>
        <v>50000</v>
      </c>
      <c r="CR275" s="26">
        <f t="shared" si="305"/>
        <v>125000</v>
      </c>
      <c r="CS275" s="26">
        <f t="shared" si="305"/>
        <v>0</v>
      </c>
      <c r="CT275" s="26">
        <f t="shared" si="305"/>
        <v>0</v>
      </c>
      <c r="CU275" s="352">
        <f t="shared" si="305"/>
        <v>0</v>
      </c>
      <c r="CV275" s="189"/>
    </row>
    <row r="276" spans="1:100" s="4" customFormat="1" ht="25.5" x14ac:dyDescent="0.2">
      <c r="A276" s="3" t="s">
        <v>88</v>
      </c>
      <c r="B276" s="25" t="s">
        <v>98</v>
      </c>
      <c r="C276" s="51">
        <f t="shared" ref="C276:D276" si="306">C266</f>
        <v>0</v>
      </c>
      <c r="D276" s="28">
        <f t="shared" si="306"/>
        <v>0</v>
      </c>
      <c r="E276" s="28">
        <f t="shared" ref="E276:BI276" si="307">E266</f>
        <v>0</v>
      </c>
      <c r="F276" s="28">
        <f t="shared" si="307"/>
        <v>0</v>
      </c>
      <c r="G276" s="28">
        <f t="shared" si="307"/>
        <v>0</v>
      </c>
      <c r="H276" s="28">
        <f t="shared" si="307"/>
        <v>0</v>
      </c>
      <c r="I276" s="28">
        <f t="shared" ref="I276:N276" si="308">I266</f>
        <v>0</v>
      </c>
      <c r="J276" s="28">
        <f t="shared" si="308"/>
        <v>0</v>
      </c>
      <c r="K276" s="28">
        <f t="shared" si="308"/>
        <v>0</v>
      </c>
      <c r="L276" s="28">
        <f t="shared" si="308"/>
        <v>0</v>
      </c>
      <c r="M276" s="28">
        <f t="shared" si="308"/>
        <v>0</v>
      </c>
      <c r="N276" s="28">
        <f t="shared" si="308"/>
        <v>0</v>
      </c>
      <c r="O276" s="28">
        <f t="shared" si="307"/>
        <v>0</v>
      </c>
      <c r="P276" s="28">
        <f t="shared" ref="P276:U276" si="309">P266</f>
        <v>0</v>
      </c>
      <c r="Q276" s="28">
        <f t="shared" si="309"/>
        <v>0</v>
      </c>
      <c r="R276" s="28">
        <f t="shared" si="309"/>
        <v>0</v>
      </c>
      <c r="S276" s="28">
        <f t="shared" si="309"/>
        <v>0</v>
      </c>
      <c r="T276" s="28">
        <f t="shared" si="309"/>
        <v>0</v>
      </c>
      <c r="U276" s="28">
        <f t="shared" si="309"/>
        <v>0</v>
      </c>
      <c r="V276" s="28">
        <f t="shared" si="307"/>
        <v>0</v>
      </c>
      <c r="W276" s="28">
        <f t="shared" ref="W276:AH276" si="310">W266</f>
        <v>0</v>
      </c>
      <c r="X276" s="28">
        <f t="shared" si="310"/>
        <v>0</v>
      </c>
      <c r="Y276" s="28">
        <f t="shared" si="310"/>
        <v>0</v>
      </c>
      <c r="Z276" s="28">
        <f t="shared" si="310"/>
        <v>0</v>
      </c>
      <c r="AA276" s="28">
        <f t="shared" si="310"/>
        <v>0</v>
      </c>
      <c r="AB276" s="28">
        <f t="shared" si="310"/>
        <v>0</v>
      </c>
      <c r="AC276" s="28">
        <f t="shared" si="310"/>
        <v>0</v>
      </c>
      <c r="AD276" s="28">
        <f t="shared" si="310"/>
        <v>0</v>
      </c>
      <c r="AE276" s="28">
        <f t="shared" si="310"/>
        <v>0</v>
      </c>
      <c r="AF276" s="28">
        <f t="shared" si="310"/>
        <v>0</v>
      </c>
      <c r="AG276" s="28">
        <f t="shared" si="310"/>
        <v>0</v>
      </c>
      <c r="AH276" s="28">
        <f t="shared" si="310"/>
        <v>0</v>
      </c>
      <c r="AI276" s="28">
        <f>AI266</f>
        <v>0</v>
      </c>
      <c r="AJ276" s="28">
        <f>AJ266</f>
        <v>0</v>
      </c>
      <c r="AK276" s="28">
        <f>AK266</f>
        <v>0</v>
      </c>
      <c r="AL276" s="28">
        <f t="shared" si="307"/>
        <v>0</v>
      </c>
      <c r="AM276" s="28">
        <f t="shared" ref="AM276:BE276" si="311">AM266</f>
        <v>0</v>
      </c>
      <c r="AN276" s="28">
        <f t="shared" si="311"/>
        <v>0</v>
      </c>
      <c r="AO276" s="28">
        <f t="shared" si="311"/>
        <v>0</v>
      </c>
      <c r="AP276" s="28">
        <f t="shared" si="311"/>
        <v>0</v>
      </c>
      <c r="AQ276" s="28">
        <f t="shared" si="311"/>
        <v>0</v>
      </c>
      <c r="AR276" s="28">
        <f t="shared" si="311"/>
        <v>0</v>
      </c>
      <c r="AS276" s="28">
        <f t="shared" si="311"/>
        <v>0</v>
      </c>
      <c r="AT276" s="28">
        <f t="shared" si="311"/>
        <v>0</v>
      </c>
      <c r="AU276" s="28">
        <f t="shared" si="311"/>
        <v>0</v>
      </c>
      <c r="AV276" s="28">
        <f t="shared" si="311"/>
        <v>0</v>
      </c>
      <c r="AW276" s="28">
        <f t="shared" si="311"/>
        <v>0</v>
      </c>
      <c r="AX276" s="28">
        <f t="shared" si="311"/>
        <v>0</v>
      </c>
      <c r="AY276" s="28">
        <f t="shared" si="311"/>
        <v>0</v>
      </c>
      <c r="AZ276" s="28">
        <f t="shared" si="311"/>
        <v>0</v>
      </c>
      <c r="BA276" s="28">
        <f t="shared" si="311"/>
        <v>0</v>
      </c>
      <c r="BB276" s="28">
        <f t="shared" si="311"/>
        <v>0</v>
      </c>
      <c r="BC276" s="28">
        <f t="shared" si="311"/>
        <v>0</v>
      </c>
      <c r="BD276" s="183">
        <f t="shared" si="311"/>
        <v>0</v>
      </c>
      <c r="BE276" s="28">
        <f t="shared" si="311"/>
        <v>0</v>
      </c>
      <c r="BF276" s="28">
        <f t="shared" si="307"/>
        <v>0</v>
      </c>
      <c r="BG276" s="28">
        <f t="shared" si="307"/>
        <v>0</v>
      </c>
      <c r="BH276" s="28">
        <f t="shared" si="307"/>
        <v>0</v>
      </c>
      <c r="BI276" s="28">
        <f t="shared" si="307"/>
        <v>0</v>
      </c>
      <c r="BJ276" s="28">
        <f>BJ266</f>
        <v>0</v>
      </c>
      <c r="BK276" s="28">
        <f>BK266</f>
        <v>0</v>
      </c>
      <c r="BL276" s="28">
        <f t="shared" ref="BL276:BT276" si="312">BL266</f>
        <v>0</v>
      </c>
      <c r="BM276" s="28">
        <f t="shared" si="312"/>
        <v>0</v>
      </c>
      <c r="BN276" s="28">
        <f t="shared" si="312"/>
        <v>0</v>
      </c>
      <c r="BO276" s="28">
        <f t="shared" si="312"/>
        <v>0</v>
      </c>
      <c r="BP276" s="28">
        <f t="shared" si="312"/>
        <v>0</v>
      </c>
      <c r="BQ276" s="28">
        <f t="shared" si="312"/>
        <v>0</v>
      </c>
      <c r="BR276" s="28">
        <f t="shared" si="312"/>
        <v>0</v>
      </c>
      <c r="BS276" s="28">
        <f t="shared" si="312"/>
        <v>0</v>
      </c>
      <c r="BT276" s="28">
        <f t="shared" si="312"/>
        <v>0</v>
      </c>
      <c r="BU276" s="28">
        <f>BU266</f>
        <v>0</v>
      </c>
      <c r="BV276" s="28">
        <f>BV266</f>
        <v>0</v>
      </c>
      <c r="BW276" s="28">
        <f>BW266</f>
        <v>0</v>
      </c>
      <c r="BX276" s="28">
        <f>BX266</f>
        <v>0</v>
      </c>
      <c r="BY276" s="28">
        <f>BY266</f>
        <v>0</v>
      </c>
      <c r="BZ276" s="28">
        <f t="shared" ref="BZ276" si="313">BZ266</f>
        <v>0</v>
      </c>
      <c r="CA276" s="28">
        <f t="shared" ref="CA276:CF276" si="314">CA266</f>
        <v>0</v>
      </c>
      <c r="CB276" s="28">
        <f t="shared" si="314"/>
        <v>0</v>
      </c>
      <c r="CC276" s="28">
        <f t="shared" si="314"/>
        <v>0</v>
      </c>
      <c r="CD276" s="28">
        <f t="shared" si="314"/>
        <v>0</v>
      </c>
      <c r="CE276" s="28">
        <f t="shared" si="314"/>
        <v>0</v>
      </c>
      <c r="CF276" s="28">
        <f t="shared" si="314"/>
        <v>0</v>
      </c>
      <c r="CG276" s="28">
        <f t="shared" ref="CG276:CU276" si="315">CG266</f>
        <v>0</v>
      </c>
      <c r="CH276" s="28">
        <f t="shared" si="315"/>
        <v>0</v>
      </c>
      <c r="CI276" s="28">
        <f t="shared" si="315"/>
        <v>0</v>
      </c>
      <c r="CJ276" s="28">
        <f t="shared" si="315"/>
        <v>0</v>
      </c>
      <c r="CK276" s="28">
        <f t="shared" si="315"/>
        <v>0</v>
      </c>
      <c r="CL276" s="28">
        <f t="shared" si="315"/>
        <v>0</v>
      </c>
      <c r="CM276" s="28">
        <f t="shared" si="315"/>
        <v>0</v>
      </c>
      <c r="CN276" s="28">
        <f t="shared" si="315"/>
        <v>0</v>
      </c>
      <c r="CO276" s="28">
        <f t="shared" si="315"/>
        <v>0</v>
      </c>
      <c r="CP276" s="28">
        <f t="shared" si="315"/>
        <v>0</v>
      </c>
      <c r="CQ276" s="28">
        <f t="shared" si="315"/>
        <v>0</v>
      </c>
      <c r="CR276" s="28">
        <f t="shared" si="315"/>
        <v>0</v>
      </c>
      <c r="CS276" s="28">
        <f t="shared" si="315"/>
        <v>0</v>
      </c>
      <c r="CT276" s="28">
        <f t="shared" si="315"/>
        <v>0</v>
      </c>
      <c r="CU276" s="353">
        <f t="shared" si="315"/>
        <v>0</v>
      </c>
      <c r="CV276" s="190"/>
    </row>
    <row r="277" spans="1:100" ht="26.25" thickBot="1" x14ac:dyDescent="0.25">
      <c r="A277" s="3" t="s">
        <v>89</v>
      </c>
      <c r="B277" s="45" t="s">
        <v>1014</v>
      </c>
      <c r="C277" s="48">
        <f>SUM(D277:DX277)</f>
        <v>10011300.099999996</v>
      </c>
      <c r="D277" s="41">
        <f t="shared" ref="D277:BI277" si="316">D274-D275-D276</f>
        <v>364520.70999999344</v>
      </c>
      <c r="E277" s="41">
        <f t="shared" si="316"/>
        <v>4628103.88</v>
      </c>
      <c r="F277" s="41">
        <f t="shared" si="316"/>
        <v>0</v>
      </c>
      <c r="G277" s="41">
        <f t="shared" si="316"/>
        <v>192330</v>
      </c>
      <c r="H277" s="41">
        <f t="shared" si="316"/>
        <v>0.22000000020489097</v>
      </c>
      <c r="I277" s="41">
        <f t="shared" ref="I277:N277" si="317">I274-I275-I276</f>
        <v>1532337.8699999996</v>
      </c>
      <c r="J277" s="41">
        <f t="shared" si="317"/>
        <v>2.0300000002607703</v>
      </c>
      <c r="K277" s="41">
        <f t="shared" si="317"/>
        <v>0</v>
      </c>
      <c r="L277" s="41">
        <f t="shared" si="317"/>
        <v>0</v>
      </c>
      <c r="M277" s="41">
        <f t="shared" si="317"/>
        <v>26069</v>
      </c>
      <c r="N277" s="41">
        <f t="shared" si="317"/>
        <v>32944.980000000447</v>
      </c>
      <c r="O277" s="41">
        <f t="shared" si="316"/>
        <v>763000</v>
      </c>
      <c r="P277" s="41">
        <f t="shared" ref="P277:U277" si="318">P274-P275-P276</f>
        <v>97877</v>
      </c>
      <c r="Q277" s="41">
        <f t="shared" si="318"/>
        <v>-0.70000000018626451</v>
      </c>
      <c r="R277" s="41">
        <f t="shared" si="318"/>
        <v>25000</v>
      </c>
      <c r="S277" s="41">
        <f t="shared" si="318"/>
        <v>5000</v>
      </c>
      <c r="T277" s="41">
        <f t="shared" si="318"/>
        <v>5670</v>
      </c>
      <c r="U277" s="41">
        <f t="shared" si="318"/>
        <v>75000</v>
      </c>
      <c r="V277" s="41">
        <f t="shared" si="316"/>
        <v>14500</v>
      </c>
      <c r="W277" s="41">
        <f t="shared" ref="W277:AH277" si="319">W274-W275-W276</f>
        <v>137906</v>
      </c>
      <c r="X277" s="41">
        <f t="shared" si="319"/>
        <v>30900</v>
      </c>
      <c r="Y277" s="41">
        <f t="shared" si="319"/>
        <v>0</v>
      </c>
      <c r="Z277" s="41">
        <f t="shared" si="319"/>
        <v>295648</v>
      </c>
      <c r="AA277" s="41">
        <f t="shared" si="319"/>
        <v>0</v>
      </c>
      <c r="AB277" s="41">
        <f t="shared" si="319"/>
        <v>0</v>
      </c>
      <c r="AC277" s="41">
        <f t="shared" si="319"/>
        <v>0</v>
      </c>
      <c r="AD277" s="41">
        <f t="shared" si="319"/>
        <v>161582</v>
      </c>
      <c r="AE277" s="41">
        <f t="shared" si="319"/>
        <v>23</v>
      </c>
      <c r="AF277" s="41">
        <f t="shared" si="319"/>
        <v>0</v>
      </c>
      <c r="AG277" s="41">
        <f t="shared" si="319"/>
        <v>12750</v>
      </c>
      <c r="AH277" s="41">
        <f t="shared" si="319"/>
        <v>28014</v>
      </c>
      <c r="AI277" s="41">
        <f>AI274-AI275-AI276</f>
        <v>138000</v>
      </c>
      <c r="AJ277" s="41">
        <f>AJ274-AJ275-AJ276</f>
        <v>0</v>
      </c>
      <c r="AK277" s="41">
        <f>AK274-AK275-AK276</f>
        <v>3000</v>
      </c>
      <c r="AL277" s="41">
        <f t="shared" si="316"/>
        <v>83471.13</v>
      </c>
      <c r="AM277" s="41">
        <f t="shared" ref="AM277:BE277" si="320">AM274-AM275-AM276</f>
        <v>106506.40000000002</v>
      </c>
      <c r="AN277" s="41">
        <f t="shared" si="320"/>
        <v>7272.2500000000437</v>
      </c>
      <c r="AO277" s="41">
        <f t="shared" si="320"/>
        <v>7290.7199999999993</v>
      </c>
      <c r="AP277" s="41">
        <f t="shared" si="320"/>
        <v>-494656</v>
      </c>
      <c r="AQ277" s="41">
        <f t="shared" si="320"/>
        <v>-152341.6</v>
      </c>
      <c r="AR277" s="41">
        <f t="shared" si="320"/>
        <v>69790.69</v>
      </c>
      <c r="AS277" s="41">
        <f t="shared" si="320"/>
        <v>159814.52000000002</v>
      </c>
      <c r="AT277" s="41">
        <f t="shared" si="320"/>
        <v>0</v>
      </c>
      <c r="AU277" s="41">
        <f t="shared" si="320"/>
        <v>0</v>
      </c>
      <c r="AV277" s="41">
        <f t="shared" si="320"/>
        <v>0</v>
      </c>
      <c r="AW277" s="41">
        <f t="shared" si="320"/>
        <v>1100</v>
      </c>
      <c r="AX277" s="41">
        <f t="shared" si="320"/>
        <v>4</v>
      </c>
      <c r="AY277" s="41">
        <f t="shared" si="320"/>
        <v>0</v>
      </c>
      <c r="AZ277" s="41">
        <f t="shared" si="320"/>
        <v>0</v>
      </c>
      <c r="BA277" s="41">
        <f t="shared" si="320"/>
        <v>-2.3283064365386963E-10</v>
      </c>
      <c r="BB277" s="41">
        <f t="shared" si="320"/>
        <v>0</v>
      </c>
      <c r="BC277" s="41">
        <f t="shared" si="320"/>
        <v>0</v>
      </c>
      <c r="BD277" s="354">
        <f t="shared" si="320"/>
        <v>480716</v>
      </c>
      <c r="BE277" s="41">
        <f t="shared" si="320"/>
        <v>0</v>
      </c>
      <c r="BF277" s="41">
        <f t="shared" si="316"/>
        <v>2110</v>
      </c>
      <c r="BG277" s="41">
        <f t="shared" si="316"/>
        <v>0</v>
      </c>
      <c r="BH277" s="41">
        <f t="shared" si="316"/>
        <v>58135</v>
      </c>
      <c r="BI277" s="41">
        <f t="shared" si="316"/>
        <v>0</v>
      </c>
      <c r="BJ277" s="41">
        <f>BJ274-BJ275-BJ276</f>
        <v>5326</v>
      </c>
      <c r="BK277" s="41">
        <f>BK274-BK275-BK276</f>
        <v>0</v>
      </c>
      <c r="BL277" s="41">
        <f t="shared" ref="BL277:BT277" si="321">BL274-BL275-BL276</f>
        <v>104262</v>
      </c>
      <c r="BM277" s="41">
        <f t="shared" si="321"/>
        <v>0</v>
      </c>
      <c r="BN277" s="41">
        <f t="shared" si="321"/>
        <v>0</v>
      </c>
      <c r="BO277" s="41">
        <f t="shared" si="321"/>
        <v>0</v>
      </c>
      <c r="BP277" s="41">
        <f t="shared" si="321"/>
        <v>0</v>
      </c>
      <c r="BQ277" s="41">
        <f t="shared" si="321"/>
        <v>0</v>
      </c>
      <c r="BR277" s="41">
        <f t="shared" si="321"/>
        <v>0</v>
      </c>
      <c r="BS277" s="41">
        <f t="shared" si="321"/>
        <v>0</v>
      </c>
      <c r="BT277" s="41">
        <f t="shared" si="321"/>
        <v>0</v>
      </c>
      <c r="BU277" s="41">
        <f>BU274-BU275-BU276</f>
        <v>0</v>
      </c>
      <c r="BV277" s="41">
        <f>BV274-BV275-BV276</f>
        <v>0</v>
      </c>
      <c r="BW277" s="41">
        <f>BW274-BW275-BW276</f>
        <v>16928</v>
      </c>
      <c r="BX277" s="41">
        <f>BX274-BX275-BX276</f>
        <v>163558</v>
      </c>
      <c r="BY277" s="41">
        <f>BY274-BY275-BY276</f>
        <v>35369</v>
      </c>
      <c r="BZ277" s="41">
        <f t="shared" ref="BZ277" si="322">BZ274-BZ275-BZ276</f>
        <v>0</v>
      </c>
      <c r="CA277" s="41">
        <f t="shared" ref="CA277:CF277" si="323">CA274-CA275-CA276</f>
        <v>2</v>
      </c>
      <c r="CB277" s="41">
        <f t="shared" si="323"/>
        <v>26</v>
      </c>
      <c r="CC277" s="41">
        <f t="shared" si="323"/>
        <v>10000</v>
      </c>
      <c r="CD277" s="41">
        <f t="shared" si="323"/>
        <v>67315</v>
      </c>
      <c r="CE277" s="41">
        <f t="shared" si="323"/>
        <v>6407</v>
      </c>
      <c r="CF277" s="41">
        <f t="shared" si="323"/>
        <v>61359</v>
      </c>
      <c r="CG277" s="41">
        <f t="shared" ref="CG277:CU277" si="324">CG274-CG275-CG276</f>
        <v>50557</v>
      </c>
      <c r="CH277" s="41">
        <f t="shared" si="324"/>
        <v>108</v>
      </c>
      <c r="CI277" s="41">
        <f t="shared" si="324"/>
        <v>296137</v>
      </c>
      <c r="CJ277" s="41">
        <f t="shared" si="324"/>
        <v>225113</v>
      </c>
      <c r="CK277" s="41">
        <f t="shared" si="324"/>
        <v>0</v>
      </c>
      <c r="CL277" s="41">
        <f t="shared" si="324"/>
        <v>1148</v>
      </c>
      <c r="CM277" s="41">
        <f t="shared" si="324"/>
        <v>52032</v>
      </c>
      <c r="CN277" s="41">
        <f t="shared" si="324"/>
        <v>0</v>
      </c>
      <c r="CO277" s="41">
        <f t="shared" si="324"/>
        <v>0</v>
      </c>
      <c r="CP277" s="41">
        <f t="shared" si="324"/>
        <v>16161</v>
      </c>
      <c r="CQ277" s="41">
        <f t="shared" si="324"/>
        <v>0</v>
      </c>
      <c r="CR277" s="41">
        <f t="shared" si="324"/>
        <v>101</v>
      </c>
      <c r="CS277" s="41">
        <f t="shared" si="324"/>
        <v>0</v>
      </c>
      <c r="CT277" s="41">
        <f t="shared" si="324"/>
        <v>0</v>
      </c>
      <c r="CU277" s="345">
        <f t="shared" si="324"/>
        <v>0</v>
      </c>
      <c r="CV277" s="189"/>
    </row>
    <row r="278" spans="1:100" ht="13.5" thickBot="1" x14ac:dyDescent="0.25">
      <c r="A278" s="3"/>
      <c r="B278" s="6"/>
      <c r="C278" s="63"/>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c r="CF278" s="27"/>
      <c r="CG278" s="27"/>
      <c r="CH278" s="27"/>
      <c r="CI278" s="27"/>
      <c r="CJ278" s="27"/>
      <c r="CK278" s="27"/>
      <c r="CL278" s="27"/>
      <c r="CM278" s="27"/>
      <c r="CN278" s="27"/>
      <c r="CO278" s="27"/>
      <c r="CP278" s="27"/>
      <c r="CQ278" s="27"/>
      <c r="CR278" s="27"/>
      <c r="CS278" s="27"/>
      <c r="CT278" s="27"/>
      <c r="CU278" s="27"/>
      <c r="CV278" s="189"/>
    </row>
    <row r="279" spans="1:100" x14ac:dyDescent="0.2">
      <c r="A279" s="3"/>
      <c r="B279" s="15" t="str">
        <f>B139</f>
        <v>Cash Balances at end of year</v>
      </c>
      <c r="C279" s="62"/>
      <c r="D279" s="337"/>
      <c r="E279" s="337"/>
      <c r="F279" s="337"/>
      <c r="G279" s="337"/>
      <c r="H279" s="337"/>
      <c r="I279" s="337"/>
      <c r="J279" s="337"/>
      <c r="K279" s="337"/>
      <c r="L279" s="337"/>
      <c r="M279" s="337"/>
      <c r="N279" s="337"/>
      <c r="O279" s="337"/>
      <c r="P279" s="337"/>
      <c r="Q279" s="337"/>
      <c r="R279" s="337"/>
      <c r="S279" s="337"/>
      <c r="T279" s="337"/>
      <c r="U279" s="337"/>
      <c r="V279" s="337"/>
      <c r="W279" s="337"/>
      <c r="X279" s="337"/>
      <c r="Y279" s="337"/>
      <c r="Z279" s="337"/>
      <c r="AA279" s="337"/>
      <c r="AB279" s="337"/>
      <c r="AC279" s="337"/>
      <c r="AD279" s="337"/>
      <c r="AE279" s="337"/>
      <c r="AF279" s="337"/>
      <c r="AG279" s="337"/>
      <c r="AH279" s="337"/>
      <c r="AI279" s="337"/>
      <c r="AJ279" s="337"/>
      <c r="AK279" s="337"/>
      <c r="AL279" s="337"/>
      <c r="AM279" s="337"/>
      <c r="AN279" s="337"/>
      <c r="AO279" s="337"/>
      <c r="AP279" s="337"/>
      <c r="AQ279" s="337"/>
      <c r="AR279" s="337"/>
      <c r="AS279" s="337"/>
      <c r="AT279" s="337"/>
      <c r="AU279" s="337"/>
      <c r="AV279" s="337"/>
      <c r="AW279" s="337"/>
      <c r="AX279" s="337"/>
      <c r="AY279" s="337"/>
      <c r="AZ279" s="337"/>
      <c r="BA279" s="337"/>
      <c r="BB279" s="337"/>
      <c r="BC279" s="337"/>
      <c r="BD279" s="342"/>
      <c r="BE279" s="337"/>
      <c r="BF279" s="337"/>
      <c r="BG279" s="337"/>
      <c r="BH279" s="337"/>
      <c r="BI279" s="337"/>
      <c r="BJ279" s="337"/>
      <c r="BK279" s="337"/>
      <c r="BL279" s="337"/>
      <c r="BM279" s="337"/>
      <c r="BN279" s="337"/>
      <c r="BO279" s="337"/>
      <c r="BP279" s="337"/>
      <c r="BQ279" s="337"/>
      <c r="BR279" s="337"/>
      <c r="BS279" s="337"/>
      <c r="BT279" s="337"/>
      <c r="BU279" s="337"/>
      <c r="BV279" s="337"/>
      <c r="BW279" s="337"/>
      <c r="BX279" s="337"/>
      <c r="BY279" s="337"/>
      <c r="BZ279" s="337"/>
      <c r="CA279" s="337"/>
      <c r="CB279" s="337"/>
      <c r="CC279" s="337"/>
      <c r="CD279" s="337"/>
      <c r="CE279" s="337"/>
      <c r="CF279" s="337"/>
      <c r="CG279" s="337"/>
      <c r="CH279" s="337"/>
      <c r="CI279" s="337"/>
      <c r="CJ279" s="337"/>
      <c r="CK279" s="337"/>
      <c r="CL279" s="337"/>
      <c r="CM279" s="337"/>
      <c r="CN279" s="337"/>
      <c r="CO279" s="337"/>
      <c r="CP279" s="337"/>
      <c r="CQ279" s="337"/>
      <c r="CR279" s="337"/>
      <c r="CS279" s="337"/>
      <c r="CT279" s="337"/>
      <c r="CU279" s="343"/>
      <c r="CV279" s="189"/>
    </row>
    <row r="280" spans="1:100" ht="51" x14ac:dyDescent="0.2">
      <c r="A280" s="3" t="s">
        <v>137</v>
      </c>
      <c r="B280" s="64" t="str">
        <f>B15</f>
        <v>Fund Description</v>
      </c>
      <c r="C280" s="68"/>
      <c r="D280" s="60" t="str">
        <f t="shared" ref="D280:E280" si="325">D156</f>
        <v>General Fund</v>
      </c>
      <c r="E280" s="60" t="str">
        <f t="shared" si="325"/>
        <v>General Fund</v>
      </c>
      <c r="F280" s="60" t="str">
        <f t="shared" ref="F280:H280" si="326">F156</f>
        <v>Indirect Cost Recov;      General Revenue</v>
      </c>
      <c r="G280" s="60" t="str">
        <f t="shared" si="326"/>
        <v xml:space="preserve">Federal </v>
      </c>
      <c r="H280" s="60" t="str">
        <f t="shared" si="326"/>
        <v>Capital Proj-Federal</v>
      </c>
      <c r="I280" s="60" t="str">
        <f>I156</f>
        <v>Capital Projects-State Appropriations</v>
      </c>
      <c r="J280" s="60" t="str">
        <f>J156</f>
        <v>Capital Projects - Other Funds</v>
      </c>
      <c r="K280" s="60" t="str">
        <f>K156</f>
        <v>Fish &amp; Wildlife Deferred License</v>
      </c>
      <c r="L280" s="60" t="str">
        <f t="shared" ref="L280" si="327">L156</f>
        <v xml:space="preserve">Boat Titling/Registration-DOR Casual Tax </v>
      </c>
      <c r="M280" s="60">
        <f>M157</f>
        <v>0</v>
      </c>
      <c r="N280" s="60">
        <f>N157</f>
        <v>0</v>
      </c>
      <c r="O280" s="60" t="str">
        <f t="shared" ref="O280:BG280" si="328">O156</f>
        <v>Other Operating-Law Enforcement</v>
      </c>
      <c r="P280" s="60" t="str">
        <f t="shared" ref="P280:U280" si="329">P156</f>
        <v>County Water Recreation Funds-Law Enforcement</v>
      </c>
      <c r="Q280" s="60" t="str">
        <f t="shared" si="329"/>
        <v xml:space="preserve">Boat Titling/Registration- Drew's Law-Law Enforcement </v>
      </c>
      <c r="R280" s="60" t="str">
        <f t="shared" si="329"/>
        <v xml:space="preserve">Boat Titling/Registration- Law Enforcement Inventory </v>
      </c>
      <c r="S280" s="60" t="str">
        <f t="shared" si="329"/>
        <v>Fish &amp; Wildlife Protection Fund-Law Enforcement</v>
      </c>
      <c r="T280" s="60" t="str">
        <f t="shared" si="329"/>
        <v>Marine Resources Fund-Law Enforcement</v>
      </c>
      <c r="U280" s="60" t="str">
        <f t="shared" si="329"/>
        <v>Other Operating Revenue</v>
      </c>
      <c r="V280" s="60" t="str">
        <f t="shared" si="328"/>
        <v>Other Operating-SC Wildlife Magazine</v>
      </c>
      <c r="W280" s="60" t="str">
        <f t="shared" ref="W280:AH280" si="330">W156</f>
        <v>Other Operating-Outreach &amp; Support Services</v>
      </c>
      <c r="X280" s="60" t="str">
        <f t="shared" si="330"/>
        <v>Other Operating-Indirect Cost Recovery</v>
      </c>
      <c r="Y280" s="60" t="str">
        <f t="shared" si="330"/>
        <v xml:space="preserve">Boat Titling/Registration </v>
      </c>
      <c r="Z280" s="60" t="str">
        <f t="shared" si="330"/>
        <v xml:space="preserve">Boat Titling/Registration-Administration </v>
      </c>
      <c r="AA280" s="60" t="str">
        <f t="shared" si="330"/>
        <v>Aerial Photography Program</v>
      </c>
      <c r="AB280" s="60" t="str">
        <f t="shared" si="330"/>
        <v>Donations</v>
      </c>
      <c r="AC280" s="60" t="str">
        <f t="shared" si="330"/>
        <v>County Water Recreation Funds</v>
      </c>
      <c r="AD280" s="60" t="str">
        <f t="shared" si="330"/>
        <v>County Water Recreation Funds-Boating Access/ Engineering</v>
      </c>
      <c r="AE280" s="60" t="str">
        <f t="shared" si="330"/>
        <v>County Water Recreation Funds- County Funds</v>
      </c>
      <c r="AF280" s="60" t="str">
        <f t="shared" si="330"/>
        <v>Wildlife Endowment Fund - Princip</v>
      </c>
      <c r="AG280" s="60" t="str">
        <f t="shared" si="330"/>
        <v>Wildlife Endowment Fund-Income</v>
      </c>
      <c r="AH280" s="60" t="str">
        <f t="shared" si="330"/>
        <v>Fish &amp; Wildlife Protection Fund-Admin</v>
      </c>
      <c r="AI280" s="60" t="str">
        <f>AI156</f>
        <v>Fish &amp; Wildlife Protection Fund-Indirect Cost Recovery</v>
      </c>
      <c r="AJ280" s="60" t="str">
        <f>AJ156</f>
        <v>Marine Resources Fund</v>
      </c>
      <c r="AK280" s="60" t="str">
        <f>AK156</f>
        <v>Marine Resources Fund-Admin</v>
      </c>
      <c r="AL280" s="60" t="str">
        <f t="shared" si="328"/>
        <v>Other Operating-Land, Water &amp; Conservation</v>
      </c>
      <c r="AM280" s="60" t="str">
        <f>AM156</f>
        <v>County Water Recreation Funds-Aquatic Nuisance Plants</v>
      </c>
      <c r="AN280" s="60" t="str">
        <f>AN156</f>
        <v xml:space="preserve">Boat Titling/Registration-Land, Water &amp; Conservation </v>
      </c>
      <c r="AO280" s="60" t="str">
        <f>AO156</f>
        <v>Map Sales</v>
      </c>
      <c r="AP280" s="60" t="str">
        <f t="shared" ref="AP280" si="331">AP156</f>
        <v>Private Coop Water Studies</v>
      </c>
      <c r="AQ280" s="60" t="str">
        <f t="shared" ref="AQ280:AX280" si="332">AQ156</f>
        <v>Aquatic Plant Management Trust Fund</v>
      </c>
      <c r="AR280" s="60" t="str">
        <f t="shared" si="332"/>
        <v>Heritage Trust Operating-Habitat Protection</v>
      </c>
      <c r="AS280" s="60" t="str">
        <f t="shared" si="332"/>
        <v>Heritage Trust Operating-Cultural Preserves</v>
      </c>
      <c r="AT280" s="60" t="str">
        <f t="shared" si="332"/>
        <v>Heritage Land Trust Fund</v>
      </c>
      <c r="AU280" s="60" t="str">
        <f t="shared" si="332"/>
        <v>Heritage Trust Revenue Fund</v>
      </c>
      <c r="AV280" s="60" t="str">
        <f t="shared" si="332"/>
        <v>Scenic Rivers Trust Fund</v>
      </c>
      <c r="AW280" s="60" t="str">
        <f t="shared" si="332"/>
        <v>Other Operating-Marine Resources</v>
      </c>
      <c r="AX280" s="60" t="str">
        <f t="shared" si="332"/>
        <v>Heritage Trust Operating-Coastal Preserves</v>
      </c>
      <c r="AY280" s="60" t="str">
        <f t="shared" ref="AY280" si="333">AY156</f>
        <v>Marine Resources Deferred License</v>
      </c>
      <c r="AZ280" s="60" t="str">
        <f t="shared" ref="AZ280" si="334">AZ156</f>
        <v>Marine Resources Fund-Recreational Licenses</v>
      </c>
      <c r="BA280" s="60" t="str">
        <f t="shared" ref="BA280:BB280" si="335">BA156</f>
        <v>Marine Resources Fund-Commercial Licenses</v>
      </c>
      <c r="BB280" s="60" t="str">
        <f t="shared" si="335"/>
        <v>Marine Resources Fund-Program Income</v>
      </c>
      <c r="BC280" s="60" t="str">
        <f>BC156</f>
        <v>Marine Resources Fund-Indirect Cost Recovery</v>
      </c>
      <c r="BD280" s="187" t="str">
        <f>BD156</f>
        <v>Other Operating- Wildlife &amp; Freshwater Fisheries</v>
      </c>
      <c r="BE280" s="60" t="str">
        <f>BE156</f>
        <v xml:space="preserve">Other Operating-Yawkey </v>
      </c>
      <c r="BF280" s="60" t="str">
        <f t="shared" si="328"/>
        <v>Other Operating-Pittman Robinson Match (Prov 117.143)</v>
      </c>
      <c r="BG280" s="60" t="str">
        <f t="shared" si="328"/>
        <v>Other Operating-NAWCA Match (Prov 117.144)</v>
      </c>
      <c r="BH280" s="60" t="str">
        <f t="shared" ref="BH280:BI280" si="336">BH156</f>
        <v>Comprehensive Relicensing Agreements</v>
      </c>
      <c r="BI280" s="60" t="str">
        <f t="shared" si="336"/>
        <v>Comprehensive Relicensing Agreement-Catawba Wateree Basin-Duke</v>
      </c>
      <c r="BJ280" s="60" t="str">
        <f>BJ156</f>
        <v>Yawkey Wildlife Operating Fund</v>
      </c>
      <c r="BK280" s="60" t="str">
        <f>BK156</f>
        <v>Yawkey Wildlife Trust Fund</v>
      </c>
      <c r="BL280" s="60" t="str">
        <f t="shared" ref="BL280" si="337">BL156</f>
        <v>Nongame Wildlife &amp; Natural Areas Fund</v>
      </c>
      <c r="BM280" s="60" t="str">
        <f t="shared" ref="BM280:BP280" si="338">BM156</f>
        <v>Mitigation Trust Fund</v>
      </c>
      <c r="BN280" s="60" t="str">
        <f t="shared" si="338"/>
        <v>Mitigation Trust Fund-Broad River</v>
      </c>
      <c r="BO280" s="60" t="str">
        <f t="shared" si="338"/>
        <v>Mitigation Trust Fund-Reedy River</v>
      </c>
      <c r="BP280" s="60" t="str">
        <f t="shared" si="338"/>
        <v>Mitigation Trust Fund-Savannah River</v>
      </c>
      <c r="BQ280" s="60" t="str">
        <f t="shared" ref="BQ280:BT280" si="339">BQ156</f>
        <v>Mitigation Trust Fund-Buzzards Roost</v>
      </c>
      <c r="BR280" s="60" t="str">
        <f t="shared" si="339"/>
        <v>Mitigation Trust Fund-St Stephen's Fish Lift</v>
      </c>
      <c r="BS280" s="60" t="str">
        <f t="shared" si="339"/>
        <v>Mitigation Trust Fund-Star Evviva</v>
      </c>
      <c r="BT280" s="60" t="str">
        <f t="shared" si="339"/>
        <v>Mitigation Trust Fund-US Army Corps of Engineers</v>
      </c>
      <c r="BU280" s="60" t="str">
        <f>BU156</f>
        <v>Mitigation Trust Fund-12 Mile Creek &amp; Hartwell</v>
      </c>
      <c r="BV280" s="60" t="str">
        <f>BV156</f>
        <v>Mitigation Trust Fund-SHEP Sturgeon</v>
      </c>
      <c r="BW280" s="60" t="str">
        <f>BW156</f>
        <v>Heritage Trust Operating-Heritage Preserves</v>
      </c>
      <c r="BX280" s="60" t="str">
        <f>BX156</f>
        <v>Mitigation Trust Operating Fund</v>
      </c>
      <c r="BY280" s="60" t="str">
        <f>BY156</f>
        <v>Mitigation Trust Operating Fund-Broad River</v>
      </c>
      <c r="BZ280" s="60" t="str">
        <f t="shared" ref="BZ280" si="340">BZ156</f>
        <v>Mitigation Trust Operating Fund-Reedy River</v>
      </c>
      <c r="CA280" s="60" t="str">
        <f>CA156</f>
        <v>Mitigation Trust Operating Fund-Savannah River</v>
      </c>
      <c r="CB280" s="60" t="str">
        <f t="shared" ref="CB280" si="341">CB156</f>
        <v>Mitigation Trust Operating Fund-St Stephen's Fish Lift</v>
      </c>
      <c r="CC280" s="60" t="str">
        <f>CC156</f>
        <v>Mitigation Trust Operating Fund-Star Evviva</v>
      </c>
      <c r="CD280" s="60" t="str">
        <f>CD156</f>
        <v>Mitigation Trust Operating Fund-US Army Corps of Engineers</v>
      </c>
      <c r="CE280" s="60" t="str">
        <f t="shared" ref="CE280" si="342">CE156</f>
        <v>Mitigation Trust Operating Fund- 12 Mile Creek &amp; Hartwell</v>
      </c>
      <c r="CF280" s="60" t="str">
        <f>CF156</f>
        <v>Mitigation Trust Operating Fund- SHEP Sturgeon</v>
      </c>
      <c r="CG280" s="60" t="str">
        <f t="shared" ref="CG280" si="343">CG156</f>
        <v>Fish &amp; Wildlife Protection Fund-Duck</v>
      </c>
      <c r="CH280" s="60" t="str">
        <f t="shared" ref="CH280:CK280" si="344">CH156</f>
        <v>Fish &amp; Wildlife Protection Fund-Deer</v>
      </c>
      <c r="CI280" s="60" t="str">
        <f t="shared" si="344"/>
        <v>Fish &amp; Wildlife Protection Fund-Timber</v>
      </c>
      <c r="CJ280" s="60" t="str">
        <f t="shared" si="344"/>
        <v>Fish &amp; Wildlife Protection Fund-WMA Lands</v>
      </c>
      <c r="CK280" s="60" t="str">
        <f t="shared" si="344"/>
        <v>Fish &amp; Wildlife Protection Fund-Black Bear</v>
      </c>
      <c r="CL280" s="60" t="str">
        <f t="shared" ref="CL280" si="345">CL156</f>
        <v>Fish &amp; Wildlife Protection Fund-Alligator</v>
      </c>
      <c r="CM280" s="60" t="str">
        <f t="shared" ref="CM280" si="346">CM156</f>
        <v>Fish &amp; Wildlife Protection Fund-Grass Carp</v>
      </c>
      <c r="CN280" s="60" t="str">
        <f t="shared" ref="CN280" si="347">CN156</f>
        <v>Fish &amp; Wildlife Protection Fund-Aquaculture</v>
      </c>
      <c r="CO280" s="60" t="str">
        <f t="shared" ref="CO280:CU280" si="348">CO156</f>
        <v>Fish &amp; Wildlife Protection Fund-Wildlife Permits</v>
      </c>
      <c r="CP280" s="60" t="str">
        <f t="shared" si="348"/>
        <v>Fish &amp; Wildlife Protection Fund-Draw Hunts</v>
      </c>
      <c r="CQ280" s="60" t="str">
        <f t="shared" si="348"/>
        <v>Fish &amp; Wildlife Protection Fund-Coyote</v>
      </c>
      <c r="CR280" s="60" t="str">
        <f t="shared" si="348"/>
        <v>Fish &amp; Wildlife Protection Fund-FW Hatcheries</v>
      </c>
      <c r="CS280" s="60" t="str">
        <f t="shared" si="348"/>
        <v>Fish &amp; Wildlife Protection Fund-Commercial Fur</v>
      </c>
      <c r="CT280" s="60" t="str">
        <f t="shared" si="348"/>
        <v>Fish &amp; Wildlife Protection Fund-Shooting Preserves</v>
      </c>
      <c r="CU280" s="344" t="str">
        <f t="shared" si="348"/>
        <v>Jocassee Gorges Trust Fund</v>
      </c>
      <c r="CV280" s="189"/>
    </row>
    <row r="281" spans="1:100" s="4" customFormat="1" ht="13.5" thickBot="1" x14ac:dyDescent="0.25">
      <c r="A281" s="3" t="s">
        <v>138</v>
      </c>
      <c r="B281" s="40" t="s">
        <v>1068</v>
      </c>
      <c r="C281" s="54">
        <f>SUM(D281:DX281)</f>
        <v>89788810.409999996</v>
      </c>
      <c r="D281" s="41">
        <f>D277</f>
        <v>364520.70999999344</v>
      </c>
      <c r="E281" s="41">
        <f>E277</f>
        <v>4628103.88</v>
      </c>
      <c r="F281" s="41">
        <f>F277</f>
        <v>0</v>
      </c>
      <c r="G281" s="41">
        <f>0-2000000</f>
        <v>-2000000</v>
      </c>
      <c r="H281" s="41">
        <f>0-3632154</f>
        <v>-3632154</v>
      </c>
      <c r="I281" s="41">
        <f>I277</f>
        <v>1532337.8699999996</v>
      </c>
      <c r="J281" s="41">
        <f>J277+996329</f>
        <v>996331.03000000026</v>
      </c>
      <c r="K281" s="41">
        <f>K159-K275+277200-318110</f>
        <v>1838265.48</v>
      </c>
      <c r="L281" s="41">
        <f>L159-L275-8205</f>
        <v>-0.12999999999919964</v>
      </c>
      <c r="M281" s="41">
        <f>M159-M275+0</f>
        <v>3235926.81</v>
      </c>
      <c r="N281" s="41">
        <f>N159-N275+9197557</f>
        <v>1356126.6400000006</v>
      </c>
      <c r="O281" s="41">
        <f>O159-O275+521000</f>
        <v>136415.27000000002</v>
      </c>
      <c r="P281" s="41">
        <f>P159-P275+678500</f>
        <v>169041.78999999998</v>
      </c>
      <c r="Q281" s="41">
        <f>Q159-Q275+2424000</f>
        <v>905653.86999999965</v>
      </c>
      <c r="R281" s="41">
        <f t="shared" ref="R281:BZ281" si="349">R159-R275+0</f>
        <v>10010.559999999998</v>
      </c>
      <c r="S281" s="41">
        <f>S159-S275+241000</f>
        <v>281713.45</v>
      </c>
      <c r="T281" s="41">
        <f>T159-T275+338750</f>
        <v>392264.88</v>
      </c>
      <c r="U281" s="41">
        <f>U159-U275+1000</f>
        <v>477063.93</v>
      </c>
      <c r="V281" s="41">
        <f>V159-V275+361025</f>
        <v>270139.81</v>
      </c>
      <c r="W281" s="41">
        <f>W159-W275+275000</f>
        <v>648005.55000000005</v>
      </c>
      <c r="X281" s="41">
        <f>X159-X275+40000</f>
        <v>86382.47</v>
      </c>
      <c r="Y281" s="41">
        <f t="shared" si="349"/>
        <v>14011.64</v>
      </c>
      <c r="Z281" s="41">
        <f>Z159-Z275+2122000</f>
        <v>629658.06000000006</v>
      </c>
      <c r="AA281" s="41">
        <f>AA159-AA275+75000</f>
        <v>118173.19</v>
      </c>
      <c r="AB281" s="41">
        <f>AB159-AB275+500</f>
        <v>5778.94</v>
      </c>
      <c r="AC281" s="41">
        <f t="shared" si="349"/>
        <v>3737413.24</v>
      </c>
      <c r="AD281" s="41">
        <f t="shared" si="349"/>
        <v>-521879.02</v>
      </c>
      <c r="AE281" s="41">
        <f>AE159-AE275+1800000</f>
        <v>14974968.050000001</v>
      </c>
      <c r="AF281" s="41">
        <f t="shared" si="349"/>
        <v>5287826.63</v>
      </c>
      <c r="AG281" s="41">
        <f>AG159-AG275+232000</f>
        <v>603824.80000000005</v>
      </c>
      <c r="AH281" s="41">
        <f>AH159-AH275+45000</f>
        <v>103010.6</v>
      </c>
      <c r="AI281" s="41">
        <f>AI159-AI275+703000</f>
        <v>895813.08</v>
      </c>
      <c r="AJ281" s="41">
        <f t="shared" si="349"/>
        <v>56101.15</v>
      </c>
      <c r="AK281" s="41">
        <f>AK159-AK275+4120</f>
        <v>7.0400000000008731</v>
      </c>
      <c r="AL281" s="41">
        <f>AL159-AL275+42250</f>
        <v>223159.44</v>
      </c>
      <c r="AM281" s="41">
        <f>AM159-AM275+450030</f>
        <v>367608.83</v>
      </c>
      <c r="AN281" s="41">
        <f>AN159-AN275+110000</f>
        <v>113971.54000000004</v>
      </c>
      <c r="AO281" s="41">
        <f>AO159-AO275+1500</f>
        <v>1167.0699999999997</v>
      </c>
      <c r="AP281" s="41">
        <f>AP159-AP275+494656</f>
        <v>0</v>
      </c>
      <c r="AQ281" s="41">
        <f>AQ159-AQ275+0</f>
        <v>275058.67000000004</v>
      </c>
      <c r="AR281" s="41">
        <f>AR159-AR275+372000</f>
        <v>591468.34000000008</v>
      </c>
      <c r="AS281" s="41">
        <f>AS159-AS275+930200</f>
        <v>1396180.7</v>
      </c>
      <c r="AT281" s="41">
        <f t="shared" si="349"/>
        <v>5091750.96</v>
      </c>
      <c r="AU281" s="41">
        <f t="shared" si="349"/>
        <v>0</v>
      </c>
      <c r="AV281" s="41">
        <f t="shared" si="349"/>
        <v>20411.509999999998</v>
      </c>
      <c r="AW281" s="41">
        <f>AW159-AW275+2324500</f>
        <v>844123.91000000015</v>
      </c>
      <c r="AX281" s="41">
        <f>AX159-AX275+80000</f>
        <v>76505.64</v>
      </c>
      <c r="AY281" s="41">
        <f>AY159-AY275+85950</f>
        <v>862834.13</v>
      </c>
      <c r="AZ281" s="41">
        <f>AZ159-AZ275+2233100</f>
        <v>892273.3600000001</v>
      </c>
      <c r="BA281" s="41">
        <f>BA159-BA275+796600</f>
        <v>294.65999999979977</v>
      </c>
      <c r="BB281" s="41">
        <f>BB159-BB275+1278950</f>
        <v>1072738.2</v>
      </c>
      <c r="BC281" s="41">
        <f>BC159-BC275+425000</f>
        <v>184445.71999999997</v>
      </c>
      <c r="BD281" s="41">
        <f>BD159-BD275+1606000</f>
        <v>2624855.1799999997</v>
      </c>
      <c r="BE281" s="41">
        <f t="shared" si="349"/>
        <v>0</v>
      </c>
      <c r="BF281" s="41">
        <f>BF159-BF275+2000000</f>
        <v>1988194.71</v>
      </c>
      <c r="BG281" s="41">
        <f>BG159-BG275+1000000</f>
        <v>915683</v>
      </c>
      <c r="BH281" s="41">
        <f>BH159-BH275+50000</f>
        <v>744969.92</v>
      </c>
      <c r="BI281" s="41">
        <f t="shared" si="349"/>
        <v>984800</v>
      </c>
      <c r="BJ281" s="41">
        <f>BJ159-BJ275+1025796</f>
        <v>20000.390000000014</v>
      </c>
      <c r="BK281" s="41">
        <f t="shared" si="349"/>
        <v>139812.57999999999</v>
      </c>
      <c r="BL281" s="41">
        <f>BL159-BL275+69100</f>
        <v>157593.87</v>
      </c>
      <c r="BM281" s="41">
        <f t="shared" si="349"/>
        <v>3253601.97</v>
      </c>
      <c r="BN281" s="41">
        <f t="shared" si="349"/>
        <v>949110.5</v>
      </c>
      <c r="BO281" s="41">
        <f t="shared" si="349"/>
        <v>206818.68</v>
      </c>
      <c r="BP281" s="41">
        <f t="shared" si="349"/>
        <v>20825.82</v>
      </c>
      <c r="BQ281" s="41">
        <f t="shared" si="349"/>
        <v>521442.35</v>
      </c>
      <c r="BR281" s="41">
        <f t="shared" si="349"/>
        <v>4237401.17</v>
      </c>
      <c r="BS281" s="41">
        <f t="shared" si="349"/>
        <v>195516.91</v>
      </c>
      <c r="BT281" s="41">
        <f t="shared" si="349"/>
        <v>5451388.1600000001</v>
      </c>
      <c r="BU281" s="41">
        <f t="shared" si="349"/>
        <v>3850742.5</v>
      </c>
      <c r="BV281" s="41">
        <f t="shared" si="349"/>
        <v>1808155.45</v>
      </c>
      <c r="BW281" s="41">
        <f>BW159-BW275+1645900</f>
        <v>2481003.4900000002</v>
      </c>
      <c r="BX281" s="41">
        <f>BX159-BX275+800000</f>
        <v>377179.75</v>
      </c>
      <c r="BY281" s="41">
        <f>BY159-BY275+35500</f>
        <v>58073.42</v>
      </c>
      <c r="BZ281" s="41">
        <f t="shared" si="349"/>
        <v>206818.68</v>
      </c>
      <c r="CA281" s="41">
        <f>CA159-CA275+70000</f>
        <v>74743.58</v>
      </c>
      <c r="CB281" s="41">
        <f>CB159-CB275+250000</f>
        <v>90063.830000000016</v>
      </c>
      <c r="CC281" s="41">
        <f>CC159-CC275+10000</f>
        <v>10000</v>
      </c>
      <c r="CD281" s="41">
        <f>CD159-CD275+225000</f>
        <v>213087.12</v>
      </c>
      <c r="CE281" s="41">
        <f>CE159-CE275+155000</f>
        <v>43789</v>
      </c>
      <c r="CF281" s="41">
        <f>CF159-CF275+190000</f>
        <v>176331.97999999998</v>
      </c>
      <c r="CG281" s="41">
        <f>CG159-CG275+256050</f>
        <v>288100.64</v>
      </c>
      <c r="CH281" s="41">
        <f>CH159-CH275+1122600</f>
        <v>1761064.02</v>
      </c>
      <c r="CI281" s="41">
        <f>CI159-CI275+1854100</f>
        <v>3823144.36</v>
      </c>
      <c r="CJ281" s="41">
        <f>CJ159-CJ275+1503100</f>
        <v>383299.97</v>
      </c>
      <c r="CK281" s="41">
        <f>CK159-CK275+34225</f>
        <v>1152.7599999999948</v>
      </c>
      <c r="CL281" s="41">
        <f>CL159-CL275+186000</f>
        <v>509308.05</v>
      </c>
      <c r="CM281" s="41">
        <f>CM159-CM275+46000</f>
        <v>341135.87</v>
      </c>
      <c r="CN281" s="41">
        <f>CN159-CN275+1525</f>
        <v>11577.02</v>
      </c>
      <c r="CO281" s="41">
        <f>CO159-CO275+1925</f>
        <v>13410.87</v>
      </c>
      <c r="CP281" s="41">
        <f>CP159-CP275+136000</f>
        <v>514369.82</v>
      </c>
      <c r="CQ281" s="41">
        <f>CQ159-CQ275+60500</f>
        <v>10500.129999999997</v>
      </c>
      <c r="CR281" s="41">
        <f>CR159-CR275+205000</f>
        <v>294246.48</v>
      </c>
      <c r="CS281" s="41">
        <f>CS159-CS275+22200</f>
        <v>127251.91</v>
      </c>
      <c r="CT281" s="41">
        <f>CT159-CT275+42500</f>
        <v>265956.75</v>
      </c>
      <c r="CU281" s="345">
        <f t="shared" ref="CU281" si="350">CU159-CU275+0</f>
        <v>27437.8</v>
      </c>
      <c r="CV281" s="190"/>
    </row>
    <row r="282" spans="1:100" s="4" customFormat="1" x14ac:dyDescent="0.2">
      <c r="A282" s="3"/>
      <c r="B282" s="162"/>
      <c r="C282" s="71"/>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row>
    <row r="283" spans="1:100" x14ac:dyDescent="0.2">
      <c r="A283" s="409" t="s">
        <v>160</v>
      </c>
      <c r="B283" s="406"/>
    </row>
    <row r="284" spans="1:100" ht="25.5" x14ac:dyDescent="0.2">
      <c r="A284" s="13" t="s">
        <v>498</v>
      </c>
      <c r="B284" s="105" t="s">
        <v>783</v>
      </c>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c r="CF284" s="27"/>
      <c r="CG284" s="27"/>
      <c r="CH284" s="27"/>
      <c r="CI284" s="27"/>
      <c r="CJ284" s="27"/>
      <c r="CK284" s="27"/>
      <c r="CL284" s="27"/>
      <c r="CM284" s="27"/>
      <c r="CN284" s="27"/>
      <c r="CO284" s="27"/>
      <c r="CP284" s="27"/>
      <c r="CQ284" s="27"/>
      <c r="CR284" s="27"/>
      <c r="CS284" s="27"/>
      <c r="CT284" s="27"/>
      <c r="CU284" s="27"/>
    </row>
    <row r="285" spans="1:100" ht="25.5" x14ac:dyDescent="0.2">
      <c r="A285" s="13" t="s">
        <v>499</v>
      </c>
      <c r="B285" s="105" t="s">
        <v>657</v>
      </c>
    </row>
    <row r="286" spans="1:100" ht="25.5" x14ac:dyDescent="0.2">
      <c r="A286" s="13" t="s">
        <v>656</v>
      </c>
      <c r="B286" s="105" t="s">
        <v>659</v>
      </c>
    </row>
    <row r="287" spans="1:100" s="101" customFormat="1" ht="25.5" x14ac:dyDescent="0.2">
      <c r="A287" s="13" t="s">
        <v>658</v>
      </c>
      <c r="B287" s="105" t="s">
        <v>765</v>
      </c>
      <c r="C287" s="78"/>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c r="AD287" s="92"/>
      <c r="AE287" s="92"/>
      <c r="AF287" s="92"/>
      <c r="AG287" s="92"/>
      <c r="AH287" s="92"/>
      <c r="AI287" s="92"/>
      <c r="AJ287" s="92"/>
      <c r="AK287" s="92"/>
      <c r="AL287" s="92"/>
      <c r="AM287" s="92"/>
      <c r="AN287" s="92"/>
      <c r="AO287" s="92"/>
      <c r="AP287" s="92"/>
      <c r="AQ287" s="92"/>
      <c r="AR287" s="92"/>
      <c r="AS287" s="92"/>
      <c r="AT287" s="92"/>
      <c r="AU287" s="92"/>
      <c r="AV287" s="92"/>
      <c r="AW287" s="92"/>
      <c r="AX287" s="92"/>
      <c r="AY287" s="92"/>
      <c r="AZ287" s="92"/>
      <c r="BA287" s="92"/>
      <c r="BB287" s="92"/>
      <c r="BC287" s="92"/>
      <c r="BD287" s="92"/>
      <c r="BE287" s="92"/>
      <c r="BF287" s="92"/>
      <c r="BG287" s="92"/>
      <c r="BH287" s="92"/>
      <c r="BI287" s="92"/>
      <c r="BJ287" s="92"/>
      <c r="BK287" s="92"/>
      <c r="BL287" s="92"/>
      <c r="BM287" s="92"/>
      <c r="BN287" s="92"/>
      <c r="BO287" s="92"/>
      <c r="BP287" s="92"/>
      <c r="BQ287" s="92"/>
      <c r="BR287" s="92"/>
      <c r="BS287" s="92"/>
      <c r="BT287" s="92"/>
      <c r="BU287" s="92"/>
      <c r="BV287" s="92"/>
      <c r="BW287" s="92"/>
      <c r="BX287" s="92"/>
      <c r="BY287" s="92"/>
      <c r="BZ287" s="92"/>
      <c r="CA287" s="92"/>
      <c r="CB287" s="92"/>
      <c r="CC287" s="92"/>
      <c r="CD287" s="92"/>
      <c r="CE287" s="92"/>
      <c r="CF287" s="92"/>
      <c r="CG287" s="92"/>
      <c r="CH287" s="92"/>
      <c r="CI287" s="92"/>
      <c r="CJ287" s="92"/>
      <c r="CK287" s="92"/>
      <c r="CL287" s="92"/>
      <c r="CM287" s="92"/>
      <c r="CN287" s="92"/>
      <c r="CO287" s="92"/>
      <c r="CP287" s="92"/>
      <c r="CQ287" s="92"/>
      <c r="CR287" s="92"/>
      <c r="CS287" s="92"/>
      <c r="CT287" s="92"/>
      <c r="CU287" s="92"/>
      <c r="CV287" s="10"/>
    </row>
    <row r="288" spans="1:100" ht="51" x14ac:dyDescent="0.2">
      <c r="A288" s="13" t="s">
        <v>702</v>
      </c>
      <c r="B288" s="105" t="s">
        <v>497</v>
      </c>
    </row>
    <row r="289" spans="1:100" x14ac:dyDescent="0.2">
      <c r="A289" s="13" t="s">
        <v>712</v>
      </c>
      <c r="B289" s="105" t="s">
        <v>807</v>
      </c>
    </row>
    <row r="290" spans="1:100" ht="25.5" x14ac:dyDescent="0.2">
      <c r="A290" s="13" t="s">
        <v>714</v>
      </c>
      <c r="B290" s="105" t="s">
        <v>703</v>
      </c>
    </row>
    <row r="291" spans="1:100" x14ac:dyDescent="0.2">
      <c r="A291" s="13" t="s">
        <v>715</v>
      </c>
      <c r="B291" s="105" t="s">
        <v>716</v>
      </c>
    </row>
    <row r="292" spans="1:100" x14ac:dyDescent="0.2">
      <c r="A292" s="13" t="s">
        <v>717</v>
      </c>
      <c r="B292" s="105" t="s">
        <v>718</v>
      </c>
    </row>
    <row r="293" spans="1:100" s="103" customFormat="1" ht="25.5" x14ac:dyDescent="0.2">
      <c r="A293" s="13" t="s">
        <v>719</v>
      </c>
      <c r="B293" s="105" t="s">
        <v>722</v>
      </c>
      <c r="C293" s="78"/>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c r="AD293" s="92"/>
      <c r="AE293" s="92"/>
      <c r="AF293" s="92"/>
      <c r="AG293" s="92"/>
      <c r="AH293" s="92"/>
      <c r="AI293" s="92"/>
      <c r="AJ293" s="92"/>
      <c r="AK293" s="92"/>
      <c r="AL293" s="92"/>
      <c r="AM293" s="92"/>
      <c r="AN293" s="92"/>
      <c r="AO293" s="92"/>
      <c r="AP293" s="92"/>
      <c r="AQ293" s="92"/>
      <c r="AR293" s="92"/>
      <c r="AS293" s="92"/>
      <c r="AT293" s="92"/>
      <c r="AU293" s="92"/>
      <c r="AV293" s="92"/>
      <c r="AW293" s="92"/>
      <c r="AX293" s="92"/>
      <c r="AY293" s="92"/>
      <c r="AZ293" s="92"/>
      <c r="BA293" s="92"/>
      <c r="BB293" s="92"/>
      <c r="BC293" s="92"/>
      <c r="BD293" s="92"/>
      <c r="BE293" s="92"/>
      <c r="BF293" s="92"/>
      <c r="BG293" s="92"/>
      <c r="BH293" s="92"/>
      <c r="BI293" s="92"/>
      <c r="BJ293" s="92"/>
      <c r="BK293" s="92"/>
      <c r="BL293" s="92"/>
      <c r="BM293" s="92"/>
      <c r="BN293" s="92"/>
      <c r="BO293" s="92"/>
      <c r="BP293" s="92"/>
      <c r="BQ293" s="92"/>
      <c r="BR293" s="92"/>
      <c r="BS293" s="92"/>
      <c r="BT293" s="92"/>
      <c r="BU293" s="92"/>
      <c r="BV293" s="92"/>
      <c r="BW293" s="92"/>
      <c r="BX293" s="92"/>
      <c r="BY293" s="92"/>
      <c r="BZ293" s="92"/>
      <c r="CA293" s="92"/>
      <c r="CB293" s="92"/>
      <c r="CC293" s="92"/>
      <c r="CD293" s="92"/>
      <c r="CE293" s="92"/>
      <c r="CF293" s="92"/>
      <c r="CG293" s="92"/>
      <c r="CH293" s="92"/>
      <c r="CI293" s="92"/>
      <c r="CJ293" s="92"/>
      <c r="CK293" s="92"/>
      <c r="CL293" s="92"/>
      <c r="CM293" s="92"/>
      <c r="CN293" s="92"/>
      <c r="CO293" s="92"/>
      <c r="CP293" s="92"/>
      <c r="CQ293" s="92"/>
      <c r="CR293" s="92"/>
      <c r="CS293" s="92"/>
      <c r="CT293" s="92"/>
      <c r="CU293" s="92"/>
      <c r="CV293" s="10"/>
    </row>
    <row r="294" spans="1:100" x14ac:dyDescent="0.2">
      <c r="A294" s="13" t="s">
        <v>721</v>
      </c>
      <c r="B294" s="105" t="s">
        <v>720</v>
      </c>
    </row>
    <row r="297" spans="1:100" x14ac:dyDescent="0.2">
      <c r="A297" s="410" t="s">
        <v>950</v>
      </c>
      <c r="B297" s="406"/>
    </row>
    <row r="298" spans="1:100" s="105" customFormat="1" x14ac:dyDescent="0.2">
      <c r="A298" s="153" t="s">
        <v>948</v>
      </c>
      <c r="B298" s="154" t="s">
        <v>949</v>
      </c>
      <c r="C298" s="78"/>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c r="AG298" s="92"/>
      <c r="AH298" s="92"/>
      <c r="AI298" s="92"/>
      <c r="AJ298" s="92"/>
      <c r="AK298" s="92"/>
      <c r="AL298" s="92"/>
      <c r="AM298" s="92"/>
      <c r="AN298" s="92"/>
      <c r="AO298" s="92"/>
      <c r="AP298" s="92"/>
      <c r="AQ298" s="92"/>
      <c r="AR298" s="92"/>
      <c r="AS298" s="92"/>
      <c r="AT298" s="92"/>
      <c r="AU298" s="92"/>
      <c r="AV298" s="92"/>
      <c r="AW298" s="92"/>
      <c r="AX298" s="92"/>
      <c r="AY298" s="92"/>
      <c r="AZ298" s="92"/>
      <c r="BA298" s="92"/>
      <c r="BB298" s="92"/>
      <c r="BC298" s="92"/>
      <c r="BD298" s="92"/>
      <c r="BE298" s="92"/>
      <c r="BF298" s="92"/>
      <c r="BG298" s="92"/>
      <c r="BH298" s="92"/>
      <c r="BI298" s="92"/>
      <c r="BJ298" s="92"/>
      <c r="BK298" s="92"/>
      <c r="BL298" s="92"/>
      <c r="BM298" s="92"/>
      <c r="BN298" s="92"/>
      <c r="BO298" s="92"/>
      <c r="BP298" s="92"/>
      <c r="BQ298" s="92"/>
      <c r="BR298" s="92"/>
      <c r="BS298" s="92"/>
      <c r="BT298" s="92"/>
      <c r="BU298" s="92"/>
      <c r="BV298" s="92"/>
      <c r="BW298" s="92"/>
      <c r="BX298" s="92"/>
      <c r="BY298" s="92"/>
      <c r="BZ298" s="92"/>
      <c r="CA298" s="92"/>
      <c r="CB298" s="92"/>
      <c r="CC298" s="92"/>
      <c r="CD298" s="92"/>
      <c r="CE298" s="92"/>
      <c r="CF298" s="92"/>
      <c r="CG298" s="92"/>
      <c r="CH298" s="92"/>
      <c r="CI298" s="92"/>
      <c r="CJ298" s="92"/>
      <c r="CK298" s="92"/>
      <c r="CL298" s="92"/>
      <c r="CM298" s="92"/>
      <c r="CN298" s="92"/>
      <c r="CO298" s="92"/>
      <c r="CP298" s="92"/>
      <c r="CQ298" s="92"/>
      <c r="CR298" s="92"/>
      <c r="CS298" s="92"/>
      <c r="CT298" s="92"/>
      <c r="CU298" s="92"/>
      <c r="CV298" s="10"/>
    </row>
    <row r="299" spans="1:100" x14ac:dyDescent="0.2">
      <c r="A299" s="13" t="s">
        <v>819</v>
      </c>
      <c r="B299" s="168" t="s">
        <v>176</v>
      </c>
    </row>
    <row r="300" spans="1:100" x14ac:dyDescent="0.2">
      <c r="B300" s="168"/>
    </row>
    <row r="301" spans="1:100" x14ac:dyDescent="0.2">
      <c r="A301" s="13" t="s">
        <v>854</v>
      </c>
      <c r="B301" s="168" t="s">
        <v>932</v>
      </c>
    </row>
    <row r="302" spans="1:100" x14ac:dyDescent="0.2">
      <c r="B302" s="168"/>
    </row>
    <row r="303" spans="1:100" x14ac:dyDescent="0.2">
      <c r="A303" s="13" t="s">
        <v>855</v>
      </c>
      <c r="B303" s="168" t="s">
        <v>933</v>
      </c>
    </row>
    <row r="304" spans="1:100" x14ac:dyDescent="0.2">
      <c r="A304" s="13" t="s">
        <v>856</v>
      </c>
      <c r="B304" s="168" t="s">
        <v>934</v>
      </c>
    </row>
    <row r="305" spans="1:2" x14ac:dyDescent="0.2">
      <c r="A305" s="13" t="s">
        <v>820</v>
      </c>
      <c r="B305" s="168" t="s">
        <v>238</v>
      </c>
    </row>
    <row r="306" spans="1:2" x14ac:dyDescent="0.2">
      <c r="A306" s="13" t="s">
        <v>838</v>
      </c>
      <c r="B306" s="168" t="s">
        <v>935</v>
      </c>
    </row>
    <row r="307" spans="1:2" x14ac:dyDescent="0.2">
      <c r="B307" s="168"/>
    </row>
    <row r="308" spans="1:2" x14ac:dyDescent="0.2">
      <c r="A308" s="13" t="s">
        <v>857</v>
      </c>
      <c r="B308" s="168" t="s">
        <v>937</v>
      </c>
    </row>
    <row r="309" spans="1:2" x14ac:dyDescent="0.2">
      <c r="A309" s="13" t="s">
        <v>833</v>
      </c>
      <c r="B309" s="168" t="s">
        <v>936</v>
      </c>
    </row>
    <row r="310" spans="1:2" x14ac:dyDescent="0.2">
      <c r="A310" s="13" t="s">
        <v>835</v>
      </c>
      <c r="B310" s="168" t="s">
        <v>482</v>
      </c>
    </row>
    <row r="311" spans="1:2" x14ac:dyDescent="0.2">
      <c r="B311" s="168"/>
    </row>
    <row r="312" spans="1:2" x14ac:dyDescent="0.2">
      <c r="A312" s="13" t="s">
        <v>858</v>
      </c>
      <c r="B312" s="168" t="s">
        <v>938</v>
      </c>
    </row>
    <row r="313" spans="1:2" x14ac:dyDescent="0.2">
      <c r="A313" s="13" t="s">
        <v>859</v>
      </c>
      <c r="B313" s="168" t="s">
        <v>893</v>
      </c>
    </row>
    <row r="314" spans="1:2" x14ac:dyDescent="0.2">
      <c r="A314" s="13" t="s">
        <v>846</v>
      </c>
      <c r="B314" s="168" t="s">
        <v>229</v>
      </c>
    </row>
    <row r="315" spans="1:2" x14ac:dyDescent="0.2">
      <c r="A315" s="13" t="s">
        <v>827</v>
      </c>
      <c r="B315" s="168" t="s">
        <v>240</v>
      </c>
    </row>
    <row r="316" spans="1:2" x14ac:dyDescent="0.2">
      <c r="B316" s="168"/>
    </row>
    <row r="317" spans="1:2" x14ac:dyDescent="0.2">
      <c r="A317" s="13" t="s">
        <v>860</v>
      </c>
      <c r="B317" s="168" t="s">
        <v>939</v>
      </c>
    </row>
    <row r="318" spans="1:2" x14ac:dyDescent="0.2">
      <c r="A318" s="13" t="s">
        <v>821</v>
      </c>
      <c r="B318" s="168" t="s">
        <v>492</v>
      </c>
    </row>
    <row r="319" spans="1:2" x14ac:dyDescent="0.2">
      <c r="A319" s="13" t="s">
        <v>828</v>
      </c>
      <c r="B319" s="168" t="s">
        <v>237</v>
      </c>
    </row>
    <row r="320" spans="1:2" x14ac:dyDescent="0.2">
      <c r="A320" s="13" t="s">
        <v>822</v>
      </c>
      <c r="B320" s="168" t="s">
        <v>491</v>
      </c>
    </row>
    <row r="321" spans="1:2" x14ac:dyDescent="0.2">
      <c r="A321" s="13" t="s">
        <v>830</v>
      </c>
      <c r="B321" s="168" t="s">
        <v>232</v>
      </c>
    </row>
    <row r="322" spans="1:2" x14ac:dyDescent="0.2">
      <c r="A322" s="13" t="s">
        <v>823</v>
      </c>
      <c r="B322" s="168" t="s">
        <v>487</v>
      </c>
    </row>
    <row r="323" spans="1:2" x14ac:dyDescent="0.2">
      <c r="B323" s="168"/>
    </row>
    <row r="324" spans="1:2" x14ac:dyDescent="0.2">
      <c r="A324" s="13" t="s">
        <v>861</v>
      </c>
      <c r="B324" s="168" t="s">
        <v>940</v>
      </c>
    </row>
    <row r="325" spans="1:2" x14ac:dyDescent="0.2">
      <c r="A325" s="13" t="s">
        <v>824</v>
      </c>
      <c r="B325" s="168" t="s">
        <v>488</v>
      </c>
    </row>
    <row r="326" spans="1:2" x14ac:dyDescent="0.2">
      <c r="A326" s="13" t="s">
        <v>862</v>
      </c>
      <c r="B326" s="168" t="s">
        <v>892</v>
      </c>
    </row>
    <row r="327" spans="1:2" x14ac:dyDescent="0.2">
      <c r="A327" s="13" t="s">
        <v>863</v>
      </c>
      <c r="B327" s="168" t="s">
        <v>941</v>
      </c>
    </row>
    <row r="328" spans="1:2" x14ac:dyDescent="0.2">
      <c r="B328" s="168"/>
    </row>
    <row r="329" spans="1:2" x14ac:dyDescent="0.2">
      <c r="A329" s="13" t="s">
        <v>864</v>
      </c>
      <c r="B329" s="168" t="s">
        <v>942</v>
      </c>
    </row>
    <row r="330" spans="1:2" x14ac:dyDescent="0.2">
      <c r="A330" s="13" t="s">
        <v>865</v>
      </c>
      <c r="B330" s="168" t="s">
        <v>943</v>
      </c>
    </row>
    <row r="331" spans="1:2" x14ac:dyDescent="0.2">
      <c r="A331" s="13" t="s">
        <v>866</v>
      </c>
      <c r="B331" s="168" t="s">
        <v>944</v>
      </c>
    </row>
    <row r="332" spans="1:2" x14ac:dyDescent="0.2">
      <c r="B332" s="168"/>
    </row>
    <row r="333" spans="1:2" x14ac:dyDescent="0.2">
      <c r="A333" s="13" t="s">
        <v>867</v>
      </c>
      <c r="B333" s="168" t="s">
        <v>945</v>
      </c>
    </row>
    <row r="334" spans="1:2" x14ac:dyDescent="0.2">
      <c r="A334" s="13" t="s">
        <v>826</v>
      </c>
      <c r="B334" s="168" t="s">
        <v>226</v>
      </c>
    </row>
    <row r="335" spans="1:2" x14ac:dyDescent="0.2">
      <c r="A335" s="13" t="s">
        <v>868</v>
      </c>
      <c r="B335" s="168" t="s">
        <v>946</v>
      </c>
    </row>
    <row r="336" spans="1:2" x14ac:dyDescent="0.2">
      <c r="A336" s="13" t="s">
        <v>850</v>
      </c>
      <c r="B336" s="168" t="s">
        <v>480</v>
      </c>
    </row>
    <row r="337" spans="1:100" x14ac:dyDescent="0.2">
      <c r="B337" s="168"/>
    </row>
    <row r="338" spans="1:100" x14ac:dyDescent="0.2">
      <c r="A338" s="13" t="s">
        <v>869</v>
      </c>
      <c r="B338" s="168" t="s">
        <v>947</v>
      </c>
    </row>
    <row r="339" spans="1:100" s="105" customFormat="1" ht="15" x14ac:dyDescent="0.2">
      <c r="A339" s="139"/>
      <c r="B339" s="169"/>
      <c r="C339" s="78"/>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c r="AG339" s="92"/>
      <c r="AH339" s="92"/>
      <c r="AI339" s="92"/>
      <c r="AJ339" s="92"/>
      <c r="AK339" s="92"/>
      <c r="AL339" s="92"/>
      <c r="AM339" s="92"/>
      <c r="AN339" s="92"/>
      <c r="AO339" s="92"/>
      <c r="AP339" s="92"/>
      <c r="AQ339" s="92"/>
      <c r="AR339" s="92"/>
      <c r="AS339" s="92"/>
      <c r="AT339" s="92"/>
      <c r="AU339" s="92"/>
      <c r="AV339" s="92"/>
      <c r="AW339" s="92"/>
      <c r="AX339" s="92"/>
      <c r="AY339" s="92"/>
      <c r="AZ339" s="92"/>
      <c r="BA339" s="92"/>
      <c r="BB339" s="92"/>
      <c r="BC339" s="92"/>
      <c r="BD339" s="92"/>
      <c r="BE339" s="92"/>
      <c r="BF339" s="92"/>
      <c r="BG339" s="92"/>
      <c r="BH339" s="92"/>
      <c r="BI339" s="92"/>
      <c r="BJ339" s="92"/>
      <c r="BK339" s="92"/>
      <c r="BL339" s="92"/>
      <c r="BM339" s="92"/>
      <c r="BN339" s="92"/>
      <c r="BO339" s="92"/>
      <c r="BP339" s="92"/>
      <c r="BQ339" s="92"/>
      <c r="BR339" s="92"/>
      <c r="BS339" s="92"/>
      <c r="BT339" s="92"/>
      <c r="BU339" s="92"/>
      <c r="BV339" s="92"/>
      <c r="BW339" s="92"/>
      <c r="BX339" s="92"/>
      <c r="BY339" s="92"/>
      <c r="BZ339" s="92"/>
      <c r="CA339" s="92"/>
      <c r="CB339" s="92"/>
      <c r="CC339" s="92"/>
      <c r="CD339" s="92"/>
      <c r="CE339" s="92"/>
      <c r="CF339" s="92"/>
      <c r="CG339" s="92"/>
      <c r="CH339" s="92"/>
      <c r="CI339" s="92"/>
      <c r="CJ339" s="92"/>
      <c r="CK339" s="92"/>
      <c r="CL339" s="92"/>
      <c r="CM339" s="92"/>
      <c r="CN339" s="92"/>
      <c r="CO339" s="92"/>
      <c r="CP339" s="92"/>
      <c r="CQ339" s="92"/>
      <c r="CR339" s="92"/>
      <c r="CS339" s="92"/>
      <c r="CT339" s="92"/>
      <c r="CU339" s="92"/>
      <c r="CV339" s="10"/>
    </row>
    <row r="340" spans="1:100" s="105" customFormat="1" x14ac:dyDescent="0.2">
      <c r="A340" s="408" t="s">
        <v>961</v>
      </c>
      <c r="B340" s="406"/>
      <c r="C340" s="78"/>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2"/>
      <c r="AH340" s="92"/>
      <c r="AI340" s="92"/>
      <c r="AJ340" s="92"/>
      <c r="AK340" s="92"/>
      <c r="AL340" s="92"/>
      <c r="AM340" s="92"/>
      <c r="AN340" s="92"/>
      <c r="AO340" s="92"/>
      <c r="AP340" s="92"/>
      <c r="AQ340" s="92"/>
      <c r="AR340" s="92"/>
      <c r="AS340" s="92"/>
      <c r="AT340" s="92"/>
      <c r="AU340" s="92"/>
      <c r="AV340" s="92"/>
      <c r="AW340" s="92"/>
      <c r="AX340" s="92"/>
      <c r="AY340" s="92"/>
      <c r="AZ340" s="92"/>
      <c r="BA340" s="92"/>
      <c r="BB340" s="92"/>
      <c r="BC340" s="92"/>
      <c r="BD340" s="92"/>
      <c r="BE340" s="92"/>
      <c r="BF340" s="92"/>
      <c r="BG340" s="92"/>
      <c r="BH340" s="92"/>
      <c r="BI340" s="92"/>
      <c r="BJ340" s="92"/>
      <c r="BK340" s="92"/>
      <c r="BL340" s="92"/>
      <c r="BM340" s="92"/>
      <c r="BN340" s="92"/>
      <c r="BO340" s="92"/>
      <c r="BP340" s="92"/>
      <c r="BQ340" s="92"/>
      <c r="BR340" s="92"/>
      <c r="BS340" s="92"/>
      <c r="BT340" s="92"/>
      <c r="BU340" s="92"/>
      <c r="BV340" s="92"/>
      <c r="BW340" s="92"/>
      <c r="BX340" s="92"/>
      <c r="BY340" s="92"/>
      <c r="BZ340" s="92"/>
      <c r="CA340" s="92"/>
      <c r="CB340" s="92"/>
      <c r="CC340" s="92"/>
      <c r="CD340" s="92"/>
      <c r="CE340" s="92"/>
      <c r="CF340" s="92"/>
      <c r="CG340" s="92"/>
      <c r="CH340" s="92"/>
      <c r="CI340" s="92"/>
      <c r="CJ340" s="92"/>
      <c r="CK340" s="92"/>
      <c r="CL340" s="92"/>
      <c r="CM340" s="92"/>
      <c r="CN340" s="92"/>
      <c r="CO340" s="92"/>
      <c r="CP340" s="92"/>
      <c r="CQ340" s="92"/>
      <c r="CR340" s="92"/>
      <c r="CS340" s="92"/>
      <c r="CT340" s="92"/>
      <c r="CU340" s="92"/>
      <c r="CV340" s="10"/>
    </row>
    <row r="341" spans="1:100" s="105" customFormat="1" x14ac:dyDescent="0.2">
      <c r="A341" s="152" t="s">
        <v>959</v>
      </c>
      <c r="B341" s="147" t="s">
        <v>960</v>
      </c>
      <c r="C341" s="78"/>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c r="AB341" s="92"/>
      <c r="AC341" s="92"/>
      <c r="AD341" s="92"/>
      <c r="AE341" s="92"/>
      <c r="AF341" s="92"/>
      <c r="AG341" s="92"/>
      <c r="AH341" s="92"/>
      <c r="AI341" s="92"/>
      <c r="AJ341" s="92"/>
      <c r="AK341" s="92"/>
      <c r="AL341" s="92"/>
      <c r="AM341" s="92"/>
      <c r="AN341" s="92"/>
      <c r="AO341" s="92"/>
      <c r="AP341" s="92"/>
      <c r="AQ341" s="92"/>
      <c r="AR341" s="92"/>
      <c r="AS341" s="92"/>
      <c r="AT341" s="92"/>
      <c r="AU341" s="92"/>
      <c r="AV341" s="92"/>
      <c r="AW341" s="92"/>
      <c r="AX341" s="92"/>
      <c r="AY341" s="92"/>
      <c r="AZ341" s="92"/>
      <c r="BA341" s="92"/>
      <c r="BB341" s="92"/>
      <c r="BC341" s="92"/>
      <c r="BD341" s="92"/>
      <c r="BE341" s="92"/>
      <c r="BF341" s="92"/>
      <c r="BG341" s="92"/>
      <c r="BH341" s="92"/>
      <c r="BI341" s="92"/>
      <c r="BJ341" s="92"/>
      <c r="BK341" s="92"/>
      <c r="BL341" s="92"/>
      <c r="BM341" s="92"/>
      <c r="BN341" s="92"/>
      <c r="BO341" s="92"/>
      <c r="BP341" s="92"/>
      <c r="BQ341" s="92"/>
      <c r="BR341" s="92"/>
      <c r="BS341" s="92"/>
      <c r="BT341" s="92"/>
      <c r="BU341" s="92"/>
      <c r="BV341" s="92"/>
      <c r="BW341" s="92"/>
      <c r="BX341" s="92"/>
      <c r="BY341" s="92"/>
      <c r="BZ341" s="92"/>
      <c r="CA341" s="92"/>
      <c r="CB341" s="92"/>
      <c r="CC341" s="92"/>
      <c r="CD341" s="92"/>
      <c r="CE341" s="92"/>
      <c r="CF341" s="92"/>
      <c r="CG341" s="92"/>
      <c r="CH341" s="92"/>
      <c r="CI341" s="92"/>
      <c r="CJ341" s="92"/>
      <c r="CK341" s="92"/>
      <c r="CL341" s="92"/>
      <c r="CM341" s="92"/>
      <c r="CN341" s="92"/>
      <c r="CO341" s="92"/>
      <c r="CP341" s="92"/>
      <c r="CQ341" s="92"/>
      <c r="CR341" s="92"/>
      <c r="CS341" s="92"/>
      <c r="CT341" s="92"/>
      <c r="CU341" s="92"/>
      <c r="CV341" s="10"/>
    </row>
    <row r="342" spans="1:100" s="105" customFormat="1" x14ac:dyDescent="0.2">
      <c r="A342" s="405" t="s">
        <v>1003</v>
      </c>
      <c r="B342" s="406"/>
      <c r="C342" s="78"/>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c r="AB342" s="92"/>
      <c r="AC342" s="92"/>
      <c r="AD342" s="92"/>
      <c r="AE342" s="92"/>
      <c r="AF342" s="92"/>
      <c r="AG342" s="92"/>
      <c r="AH342" s="92"/>
      <c r="AI342" s="92"/>
      <c r="AJ342" s="92"/>
      <c r="AK342" s="92"/>
      <c r="AL342" s="92"/>
      <c r="AM342" s="92"/>
      <c r="AN342" s="92"/>
      <c r="AO342" s="92"/>
      <c r="AP342" s="92"/>
      <c r="AQ342" s="92"/>
      <c r="AR342" s="92"/>
      <c r="AS342" s="92"/>
      <c r="AT342" s="92"/>
      <c r="AU342" s="92"/>
      <c r="AV342" s="92"/>
      <c r="AW342" s="92"/>
      <c r="AX342" s="92"/>
      <c r="AY342" s="92"/>
      <c r="AZ342" s="92"/>
      <c r="BA342" s="92"/>
      <c r="BB342" s="92"/>
      <c r="BC342" s="92"/>
      <c r="BD342" s="92"/>
      <c r="BE342" s="92"/>
      <c r="BF342" s="92"/>
      <c r="BG342" s="92"/>
      <c r="BH342" s="92"/>
      <c r="BI342" s="92"/>
      <c r="BJ342" s="92"/>
      <c r="BK342" s="92"/>
      <c r="BL342" s="92"/>
      <c r="BM342" s="92"/>
      <c r="BN342" s="92"/>
      <c r="BO342" s="92"/>
      <c r="BP342" s="92"/>
      <c r="BQ342" s="92"/>
      <c r="BR342" s="92"/>
      <c r="BS342" s="92"/>
      <c r="BT342" s="92"/>
      <c r="BU342" s="92"/>
      <c r="BV342" s="92"/>
      <c r="BW342" s="92"/>
      <c r="BX342" s="92"/>
      <c r="BY342" s="92"/>
      <c r="BZ342" s="92"/>
      <c r="CA342" s="92"/>
      <c r="CB342" s="92"/>
      <c r="CC342" s="92"/>
      <c r="CD342" s="92"/>
      <c r="CE342" s="92"/>
      <c r="CF342" s="92"/>
      <c r="CG342" s="92"/>
      <c r="CH342" s="92"/>
      <c r="CI342" s="92"/>
      <c r="CJ342" s="92"/>
      <c r="CK342" s="92"/>
      <c r="CL342" s="92"/>
      <c r="CM342" s="92"/>
      <c r="CN342" s="92"/>
      <c r="CO342" s="92"/>
      <c r="CP342" s="92"/>
      <c r="CQ342" s="92"/>
      <c r="CR342" s="92"/>
      <c r="CS342" s="92"/>
      <c r="CT342" s="92"/>
      <c r="CU342" s="92"/>
      <c r="CV342" s="10"/>
    </row>
    <row r="343" spans="1:100" s="105" customFormat="1" ht="25.5" x14ac:dyDescent="0.2">
      <c r="A343" s="105" t="s">
        <v>962</v>
      </c>
      <c r="B343" s="105" t="s">
        <v>958</v>
      </c>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c r="AD343" s="92"/>
      <c r="AE343" s="92"/>
      <c r="AF343" s="92"/>
      <c r="AG343" s="92"/>
      <c r="AH343" s="92"/>
      <c r="AI343" s="92"/>
      <c r="AJ343" s="92"/>
      <c r="AK343" s="92"/>
      <c r="AL343" s="92"/>
      <c r="AM343" s="92"/>
      <c r="AN343" s="92"/>
      <c r="AO343" s="92"/>
      <c r="AP343" s="92"/>
      <c r="AQ343" s="92"/>
      <c r="AR343" s="92"/>
      <c r="AS343" s="92"/>
      <c r="AT343" s="92"/>
      <c r="AU343" s="92"/>
      <c r="AV343" s="92"/>
      <c r="AW343" s="92"/>
      <c r="AX343" s="92"/>
      <c r="AY343" s="92"/>
      <c r="AZ343" s="92"/>
      <c r="BA343" s="92"/>
      <c r="BB343" s="92"/>
      <c r="BC343" s="92"/>
      <c r="BD343" s="92"/>
      <c r="BE343" s="92"/>
      <c r="BF343" s="92"/>
      <c r="BG343" s="92"/>
      <c r="BH343" s="92"/>
      <c r="BI343" s="92"/>
      <c r="BJ343" s="92"/>
      <c r="BK343" s="92"/>
      <c r="BL343" s="92"/>
      <c r="BM343" s="92"/>
      <c r="BN343" s="92"/>
      <c r="BO343" s="92"/>
      <c r="BP343" s="92"/>
      <c r="BQ343" s="92"/>
      <c r="BR343" s="92"/>
      <c r="BS343" s="92"/>
      <c r="BT343" s="92"/>
      <c r="BU343" s="92"/>
      <c r="BV343" s="92"/>
      <c r="BW343" s="92"/>
      <c r="BX343" s="92"/>
      <c r="BY343" s="92"/>
      <c r="BZ343" s="92"/>
      <c r="CA343" s="92"/>
      <c r="CB343" s="92"/>
      <c r="CC343" s="92"/>
      <c r="CD343" s="92"/>
      <c r="CE343" s="92"/>
      <c r="CF343" s="92"/>
      <c r="CG343" s="92"/>
      <c r="CH343" s="92"/>
      <c r="CI343" s="92"/>
      <c r="CJ343" s="92"/>
      <c r="CK343" s="92"/>
      <c r="CL343" s="92"/>
      <c r="CM343" s="92"/>
      <c r="CN343" s="92"/>
      <c r="CO343" s="92"/>
      <c r="CP343" s="92"/>
      <c r="CQ343" s="92"/>
      <c r="CR343" s="92"/>
      <c r="CS343" s="92"/>
      <c r="CT343" s="92"/>
      <c r="CU343" s="92"/>
      <c r="CV343" s="10"/>
    </row>
    <row r="344" spans="1:100" s="105" customFormat="1" ht="25.5" x14ac:dyDescent="0.2">
      <c r="A344" s="105" t="s">
        <v>963</v>
      </c>
      <c r="B344" s="105" t="s">
        <v>957</v>
      </c>
      <c r="C344" s="78"/>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G344" s="92"/>
      <c r="AH344" s="92"/>
      <c r="AI344" s="92"/>
      <c r="AJ344" s="92"/>
      <c r="AK344" s="92"/>
      <c r="AL344" s="92"/>
      <c r="AM344" s="92"/>
      <c r="AN344" s="92"/>
      <c r="AO344" s="92"/>
      <c r="AP344" s="92"/>
      <c r="AQ344" s="92"/>
      <c r="AR344" s="92"/>
      <c r="AS344" s="92"/>
      <c r="AT344" s="92"/>
      <c r="AU344" s="92"/>
      <c r="AV344" s="92"/>
      <c r="AW344" s="92"/>
      <c r="AX344" s="92"/>
      <c r="AY344" s="92"/>
      <c r="AZ344" s="92"/>
      <c r="BA344" s="92"/>
      <c r="BB344" s="92"/>
      <c r="BC344" s="92"/>
      <c r="BD344" s="92"/>
      <c r="BE344" s="92"/>
      <c r="BF344" s="92"/>
      <c r="BG344" s="92"/>
      <c r="BH344" s="92"/>
      <c r="BI344" s="92"/>
      <c r="BJ344" s="92"/>
      <c r="BK344" s="92"/>
      <c r="BL344" s="92"/>
      <c r="BM344" s="92"/>
      <c r="BN344" s="92"/>
      <c r="BO344" s="92"/>
      <c r="BP344" s="92"/>
      <c r="BQ344" s="92"/>
      <c r="BR344" s="92"/>
      <c r="BS344" s="92"/>
      <c r="BT344" s="92"/>
      <c r="BU344" s="92"/>
      <c r="BV344" s="92"/>
      <c r="BW344" s="92"/>
      <c r="BX344" s="92"/>
      <c r="BY344" s="92"/>
      <c r="BZ344" s="92"/>
      <c r="CA344" s="92"/>
      <c r="CB344" s="92"/>
      <c r="CC344" s="92"/>
      <c r="CD344" s="92"/>
      <c r="CE344" s="92"/>
      <c r="CF344" s="92"/>
      <c r="CG344" s="92"/>
      <c r="CH344" s="92"/>
      <c r="CI344" s="92"/>
      <c r="CJ344" s="92"/>
      <c r="CK344" s="92"/>
      <c r="CL344" s="92"/>
      <c r="CM344" s="92"/>
      <c r="CN344" s="92"/>
      <c r="CO344" s="92"/>
      <c r="CP344" s="92"/>
      <c r="CQ344" s="92"/>
      <c r="CR344" s="92"/>
      <c r="CS344" s="92"/>
      <c r="CT344" s="92"/>
      <c r="CU344" s="92"/>
      <c r="CV344" s="10"/>
    </row>
    <row r="345" spans="1:100" s="105" customFormat="1" ht="25.5" x14ac:dyDescent="0.2">
      <c r="A345" s="105" t="s">
        <v>964</v>
      </c>
      <c r="B345" s="105" t="s">
        <v>956</v>
      </c>
      <c r="C345" s="78"/>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10"/>
    </row>
    <row r="346" spans="1:100" s="105" customFormat="1" ht="25.5" x14ac:dyDescent="0.2">
      <c r="A346" s="105" t="s">
        <v>965</v>
      </c>
      <c r="B346" s="105" t="s">
        <v>955</v>
      </c>
      <c r="C346" s="78"/>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92"/>
      <c r="AW346" s="92"/>
      <c r="AX346" s="92"/>
      <c r="AY346" s="92"/>
      <c r="AZ346" s="92"/>
      <c r="BA346" s="92"/>
      <c r="BB346" s="92"/>
      <c r="BC346" s="92"/>
      <c r="BD346" s="92"/>
      <c r="BE346" s="92"/>
      <c r="BF346" s="92"/>
      <c r="BG346" s="92"/>
      <c r="BH346" s="92"/>
      <c r="BI346" s="92"/>
      <c r="BJ346" s="92"/>
      <c r="BK346" s="92"/>
      <c r="BL346" s="92"/>
      <c r="BM346" s="92"/>
      <c r="BN346" s="92"/>
      <c r="BO346" s="92"/>
      <c r="BP346" s="92"/>
      <c r="BQ346" s="92"/>
      <c r="BR346" s="92"/>
      <c r="BS346" s="92"/>
      <c r="BT346" s="92"/>
      <c r="BU346" s="92"/>
      <c r="BV346" s="92"/>
      <c r="BW346" s="92"/>
      <c r="BX346" s="92"/>
      <c r="BY346" s="92"/>
      <c r="BZ346" s="92"/>
      <c r="CA346" s="92"/>
      <c r="CB346" s="92"/>
      <c r="CC346" s="92"/>
      <c r="CD346" s="92"/>
      <c r="CE346" s="92"/>
      <c r="CF346" s="92"/>
      <c r="CG346" s="92"/>
      <c r="CH346" s="92"/>
      <c r="CI346" s="92"/>
      <c r="CJ346" s="92"/>
      <c r="CK346" s="92"/>
      <c r="CL346" s="92"/>
      <c r="CM346" s="92"/>
      <c r="CN346" s="92"/>
      <c r="CO346" s="92"/>
      <c r="CP346" s="92"/>
      <c r="CQ346" s="92"/>
      <c r="CR346" s="92"/>
      <c r="CS346" s="92"/>
      <c r="CT346" s="92"/>
      <c r="CU346" s="92"/>
      <c r="CV346" s="10"/>
    </row>
    <row r="347" spans="1:100" s="105" customFormat="1" ht="25.5" x14ac:dyDescent="0.2">
      <c r="A347" s="105" t="s">
        <v>966</v>
      </c>
      <c r="B347" s="105" t="s">
        <v>954</v>
      </c>
      <c r="C347" s="78"/>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c r="AB347" s="92"/>
      <c r="AC347" s="92"/>
      <c r="AD347" s="92"/>
      <c r="AE347" s="92"/>
      <c r="AF347" s="92"/>
      <c r="AG347" s="92"/>
      <c r="AH347" s="92"/>
      <c r="AI347" s="92"/>
      <c r="AJ347" s="92"/>
      <c r="AK347" s="92"/>
      <c r="AL347" s="92"/>
      <c r="AM347" s="92"/>
      <c r="AN347" s="92"/>
      <c r="AO347" s="92"/>
      <c r="AP347" s="92"/>
      <c r="AQ347" s="92"/>
      <c r="AR347" s="92"/>
      <c r="AS347" s="92"/>
      <c r="AT347" s="92"/>
      <c r="AU347" s="92"/>
      <c r="AV347" s="92"/>
      <c r="AW347" s="92"/>
      <c r="AX347" s="92"/>
      <c r="AY347" s="92"/>
      <c r="AZ347" s="92"/>
      <c r="BA347" s="92"/>
      <c r="BB347" s="92"/>
      <c r="BC347" s="92"/>
      <c r="BD347" s="92"/>
      <c r="BE347" s="92"/>
      <c r="BF347" s="92"/>
      <c r="BG347" s="92"/>
      <c r="BH347" s="92"/>
      <c r="BI347" s="92"/>
      <c r="BJ347" s="92"/>
      <c r="BK347" s="92"/>
      <c r="BL347" s="92"/>
      <c r="BM347" s="92"/>
      <c r="BN347" s="92"/>
      <c r="BO347" s="92"/>
      <c r="BP347" s="92"/>
      <c r="BQ347" s="92"/>
      <c r="BR347" s="92"/>
      <c r="BS347" s="92"/>
      <c r="BT347" s="92"/>
      <c r="BU347" s="92"/>
      <c r="BV347" s="92"/>
      <c r="BW347" s="92"/>
      <c r="BX347" s="92"/>
      <c r="BY347" s="92"/>
      <c r="BZ347" s="92"/>
      <c r="CA347" s="92"/>
      <c r="CB347" s="92"/>
      <c r="CC347" s="92"/>
      <c r="CD347" s="92"/>
      <c r="CE347" s="92"/>
      <c r="CF347" s="92"/>
      <c r="CG347" s="92"/>
      <c r="CH347" s="92"/>
      <c r="CI347" s="92"/>
      <c r="CJ347" s="92"/>
      <c r="CK347" s="92"/>
      <c r="CL347" s="92"/>
      <c r="CM347" s="92"/>
      <c r="CN347" s="92"/>
      <c r="CO347" s="92"/>
      <c r="CP347" s="92"/>
      <c r="CQ347" s="92"/>
      <c r="CR347" s="92"/>
      <c r="CS347" s="92"/>
      <c r="CT347" s="92"/>
      <c r="CU347" s="92"/>
      <c r="CV347" s="10"/>
    </row>
    <row r="348" spans="1:100" s="105" customFormat="1" ht="25.5" x14ac:dyDescent="0.2">
      <c r="A348" s="105" t="s">
        <v>967</v>
      </c>
      <c r="B348" s="105" t="s">
        <v>953</v>
      </c>
      <c r="C348" s="78"/>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92"/>
      <c r="AW348" s="92"/>
      <c r="AX348" s="92"/>
      <c r="AY348" s="92"/>
      <c r="AZ348" s="92"/>
      <c r="BA348" s="92"/>
      <c r="BB348" s="92"/>
      <c r="BC348" s="92"/>
      <c r="BD348" s="92"/>
      <c r="BE348" s="92"/>
      <c r="BF348" s="92"/>
      <c r="BG348" s="92"/>
      <c r="BH348" s="92"/>
      <c r="BI348" s="92"/>
      <c r="BJ348" s="92"/>
      <c r="BK348" s="92"/>
      <c r="BL348" s="92"/>
      <c r="BM348" s="92"/>
      <c r="BN348" s="92"/>
      <c r="BO348" s="92"/>
      <c r="BP348" s="92"/>
      <c r="BQ348" s="92"/>
      <c r="BR348" s="92"/>
      <c r="BS348" s="92"/>
      <c r="BT348" s="92"/>
      <c r="BU348" s="92"/>
      <c r="BV348" s="92"/>
      <c r="BW348" s="92"/>
      <c r="BX348" s="92"/>
      <c r="BY348" s="92"/>
      <c r="BZ348" s="92"/>
      <c r="CA348" s="92"/>
      <c r="CB348" s="92"/>
      <c r="CC348" s="92"/>
      <c r="CD348" s="92"/>
      <c r="CE348" s="92"/>
      <c r="CF348" s="92"/>
      <c r="CG348" s="92"/>
      <c r="CH348" s="92"/>
      <c r="CI348" s="92"/>
      <c r="CJ348" s="92"/>
      <c r="CK348" s="92"/>
      <c r="CL348" s="92"/>
      <c r="CM348" s="92"/>
      <c r="CN348" s="92"/>
      <c r="CO348" s="92"/>
      <c r="CP348" s="92"/>
      <c r="CQ348" s="92"/>
      <c r="CR348" s="92"/>
      <c r="CS348" s="92"/>
      <c r="CT348" s="92"/>
      <c r="CU348" s="92"/>
      <c r="CV348" s="10"/>
    </row>
    <row r="349" spans="1:100" s="105" customFormat="1" ht="25.5" x14ac:dyDescent="0.2">
      <c r="A349" s="105" t="s">
        <v>968</v>
      </c>
      <c r="B349" s="105" t="s">
        <v>952</v>
      </c>
      <c r="C349" s="78"/>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92"/>
      <c r="AW349" s="92"/>
      <c r="AX349" s="92"/>
      <c r="AY349" s="92"/>
      <c r="AZ349" s="92"/>
      <c r="BA349" s="92"/>
      <c r="BB349" s="92"/>
      <c r="BC349" s="92"/>
      <c r="BD349" s="92"/>
      <c r="BE349" s="92"/>
      <c r="BF349" s="92"/>
      <c r="BG349" s="92"/>
      <c r="BH349" s="92"/>
      <c r="BI349" s="92"/>
      <c r="BJ349" s="92"/>
      <c r="BK349" s="92"/>
      <c r="BL349" s="92"/>
      <c r="BM349" s="92"/>
      <c r="BN349" s="92"/>
      <c r="BO349" s="92"/>
      <c r="BP349" s="92"/>
      <c r="BQ349" s="92"/>
      <c r="BR349" s="92"/>
      <c r="BS349" s="92"/>
      <c r="BT349" s="92"/>
      <c r="BU349" s="92"/>
      <c r="BV349" s="92"/>
      <c r="BW349" s="92"/>
      <c r="BX349" s="92"/>
      <c r="BY349" s="92"/>
      <c r="BZ349" s="92"/>
      <c r="CA349" s="92"/>
      <c r="CB349" s="92"/>
      <c r="CC349" s="92"/>
      <c r="CD349" s="92"/>
      <c r="CE349" s="92"/>
      <c r="CF349" s="92"/>
      <c r="CG349" s="92"/>
      <c r="CH349" s="92"/>
      <c r="CI349" s="92"/>
      <c r="CJ349" s="92"/>
      <c r="CK349" s="92"/>
      <c r="CL349" s="92"/>
      <c r="CM349" s="92"/>
      <c r="CN349" s="92"/>
      <c r="CO349" s="92"/>
      <c r="CP349" s="92"/>
      <c r="CQ349" s="92"/>
      <c r="CR349" s="92"/>
      <c r="CS349" s="92"/>
      <c r="CT349" s="92"/>
      <c r="CU349" s="92"/>
      <c r="CV349" s="10"/>
    </row>
    <row r="350" spans="1:100" s="105" customFormat="1" x14ac:dyDescent="0.2">
      <c r="A350" s="407" t="s">
        <v>1004</v>
      </c>
      <c r="B350" s="406"/>
      <c r="C350" s="78"/>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92"/>
      <c r="AW350" s="92"/>
      <c r="AX350" s="92"/>
      <c r="AY350" s="92"/>
      <c r="AZ350" s="92"/>
      <c r="BA350" s="92"/>
      <c r="BB350" s="92"/>
      <c r="BC350" s="92"/>
      <c r="BD350" s="92"/>
      <c r="BE350" s="92"/>
      <c r="BF350" s="92"/>
      <c r="BG350" s="92"/>
      <c r="BH350" s="92"/>
      <c r="BI350" s="92"/>
      <c r="BJ350" s="92"/>
      <c r="BK350" s="92"/>
      <c r="BL350" s="92"/>
      <c r="BM350" s="92"/>
      <c r="BN350" s="92"/>
      <c r="BO350" s="92"/>
      <c r="BP350" s="92"/>
      <c r="BQ350" s="92"/>
      <c r="BR350" s="92"/>
      <c r="BS350" s="92"/>
      <c r="BT350" s="92"/>
      <c r="BU350" s="92"/>
      <c r="BV350" s="92"/>
      <c r="BW350" s="92"/>
      <c r="BX350" s="92"/>
      <c r="BY350" s="92"/>
      <c r="BZ350" s="92"/>
      <c r="CA350" s="92"/>
      <c r="CB350" s="92"/>
      <c r="CC350" s="92"/>
      <c r="CD350" s="92"/>
      <c r="CE350" s="92"/>
      <c r="CF350" s="92"/>
      <c r="CG350" s="92"/>
      <c r="CH350" s="92"/>
      <c r="CI350" s="92"/>
      <c r="CJ350" s="92"/>
      <c r="CK350" s="92"/>
      <c r="CL350" s="92"/>
      <c r="CM350" s="92"/>
      <c r="CN350" s="92"/>
      <c r="CO350" s="92"/>
      <c r="CP350" s="92"/>
      <c r="CQ350" s="92"/>
      <c r="CR350" s="92"/>
      <c r="CS350" s="92"/>
      <c r="CT350" s="92"/>
      <c r="CU350" s="92"/>
      <c r="CV350" s="10"/>
    </row>
    <row r="351" spans="1:100" s="105" customFormat="1" ht="25.5" x14ac:dyDescent="0.2">
      <c r="A351" s="92" t="s">
        <v>969</v>
      </c>
      <c r="B351" s="92" t="s">
        <v>1002</v>
      </c>
      <c r="C351" s="78"/>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c r="AB351" s="92"/>
      <c r="AC351" s="92"/>
      <c r="AD351" s="92"/>
      <c r="AE351" s="92"/>
      <c r="AF351" s="92"/>
      <c r="AG351" s="92"/>
      <c r="AH351" s="92"/>
      <c r="AI351" s="92"/>
      <c r="AJ351" s="92"/>
      <c r="AK351" s="92"/>
      <c r="AL351" s="92"/>
      <c r="AM351" s="92"/>
      <c r="AN351" s="92"/>
      <c r="AO351" s="92"/>
      <c r="AP351" s="92"/>
      <c r="AQ351" s="92"/>
      <c r="AR351" s="92"/>
      <c r="AS351" s="92"/>
      <c r="AT351" s="92"/>
      <c r="AU351" s="92"/>
      <c r="AV351" s="92"/>
      <c r="AW351" s="92"/>
      <c r="AX351" s="92"/>
      <c r="AY351" s="92"/>
      <c r="AZ351" s="92"/>
      <c r="BA351" s="92"/>
      <c r="BB351" s="92"/>
      <c r="BC351" s="92"/>
      <c r="BD351" s="92"/>
      <c r="BE351" s="92"/>
      <c r="BF351" s="92"/>
      <c r="BG351" s="92"/>
      <c r="BH351" s="92"/>
      <c r="BI351" s="92"/>
      <c r="BJ351" s="92"/>
      <c r="BK351" s="92"/>
      <c r="BL351" s="92"/>
      <c r="BM351" s="92"/>
      <c r="BN351" s="92"/>
      <c r="BO351" s="92"/>
      <c r="BP351" s="92"/>
      <c r="BQ351" s="92"/>
      <c r="BR351" s="92"/>
      <c r="BS351" s="92"/>
      <c r="BT351" s="92"/>
      <c r="BU351" s="92"/>
      <c r="BV351" s="92"/>
      <c r="BW351" s="92"/>
      <c r="BX351" s="92"/>
      <c r="BY351" s="92"/>
      <c r="BZ351" s="92"/>
      <c r="CA351" s="92"/>
      <c r="CB351" s="92"/>
      <c r="CC351" s="92"/>
      <c r="CD351" s="92"/>
      <c r="CE351" s="92"/>
      <c r="CF351" s="92"/>
      <c r="CG351" s="92"/>
      <c r="CH351" s="92"/>
      <c r="CI351" s="92"/>
      <c r="CJ351" s="92"/>
      <c r="CK351" s="92"/>
      <c r="CL351" s="92"/>
      <c r="CM351" s="92"/>
      <c r="CN351" s="92"/>
      <c r="CO351" s="92"/>
      <c r="CP351" s="92"/>
      <c r="CQ351" s="92"/>
      <c r="CR351" s="92"/>
      <c r="CS351" s="92"/>
      <c r="CT351" s="92"/>
      <c r="CU351" s="92"/>
      <c r="CV351" s="10"/>
    </row>
    <row r="352" spans="1:100" s="105" customFormat="1" ht="25.5" x14ac:dyDescent="0.2">
      <c r="A352" s="92" t="s">
        <v>982</v>
      </c>
      <c r="B352" s="92" t="s">
        <v>1001</v>
      </c>
      <c r="C352" s="78"/>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G352" s="92"/>
      <c r="AH352" s="92"/>
      <c r="AI352" s="92"/>
      <c r="AJ352" s="92"/>
      <c r="AK352" s="92"/>
      <c r="AL352" s="92"/>
      <c r="AM352" s="92"/>
      <c r="AN352" s="92"/>
      <c r="AO352" s="92"/>
      <c r="AP352" s="92"/>
      <c r="AQ352" s="92"/>
      <c r="AR352" s="92"/>
      <c r="AS352" s="92"/>
      <c r="AT352" s="92"/>
      <c r="AU352" s="92"/>
      <c r="AV352" s="92"/>
      <c r="AW352" s="92"/>
      <c r="AX352" s="92"/>
      <c r="AY352" s="92"/>
      <c r="AZ352" s="92"/>
      <c r="BA352" s="92"/>
      <c r="BB352" s="92"/>
      <c r="BC352" s="92"/>
      <c r="BD352" s="92"/>
      <c r="BE352" s="92"/>
      <c r="BF352" s="92"/>
      <c r="BG352" s="92"/>
      <c r="BH352" s="92"/>
      <c r="BI352" s="92"/>
      <c r="BJ352" s="92"/>
      <c r="BK352" s="92"/>
      <c r="BL352" s="92"/>
      <c r="BM352" s="92"/>
      <c r="BN352" s="92"/>
      <c r="BO352" s="92"/>
      <c r="BP352" s="92"/>
      <c r="BQ352" s="92"/>
      <c r="BR352" s="92"/>
      <c r="BS352" s="92"/>
      <c r="BT352" s="92"/>
      <c r="BU352" s="92"/>
      <c r="BV352" s="92"/>
      <c r="BW352" s="92"/>
      <c r="BX352" s="92"/>
      <c r="BY352" s="92"/>
      <c r="BZ352" s="92"/>
      <c r="CA352" s="92"/>
      <c r="CB352" s="92"/>
      <c r="CC352" s="92"/>
      <c r="CD352" s="92"/>
      <c r="CE352" s="92"/>
      <c r="CF352" s="92"/>
      <c r="CG352" s="92"/>
      <c r="CH352" s="92"/>
      <c r="CI352" s="92"/>
      <c r="CJ352" s="92"/>
      <c r="CK352" s="92"/>
      <c r="CL352" s="92"/>
      <c r="CM352" s="92"/>
      <c r="CN352" s="92"/>
      <c r="CO352" s="92"/>
      <c r="CP352" s="92"/>
      <c r="CQ352" s="92"/>
      <c r="CR352" s="92"/>
      <c r="CS352" s="92"/>
      <c r="CT352" s="92"/>
      <c r="CU352" s="92"/>
      <c r="CV352" s="10"/>
    </row>
    <row r="353" spans="1:100" s="105" customFormat="1" ht="25.5" x14ac:dyDescent="0.2">
      <c r="A353" s="92" t="s">
        <v>983</v>
      </c>
      <c r="B353" s="92" t="s">
        <v>1000</v>
      </c>
      <c r="C353" s="78"/>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92"/>
      <c r="AM353" s="92"/>
      <c r="AN353" s="92"/>
      <c r="AO353" s="92"/>
      <c r="AP353" s="92"/>
      <c r="AQ353" s="92"/>
      <c r="AR353" s="92"/>
      <c r="AS353" s="92"/>
      <c r="AT353" s="92"/>
      <c r="AU353" s="92"/>
      <c r="AV353" s="92"/>
      <c r="AW353" s="92"/>
      <c r="AX353" s="92"/>
      <c r="AY353" s="92"/>
      <c r="AZ353" s="92"/>
      <c r="BA353" s="92"/>
      <c r="BB353" s="92"/>
      <c r="BC353" s="92"/>
      <c r="BD353" s="92"/>
      <c r="BE353" s="92"/>
      <c r="BF353" s="92"/>
      <c r="BG353" s="92"/>
      <c r="BH353" s="92"/>
      <c r="BI353" s="92"/>
      <c r="BJ353" s="92"/>
      <c r="BK353" s="92"/>
      <c r="BL353" s="92"/>
      <c r="BM353" s="92"/>
      <c r="BN353" s="92"/>
      <c r="BO353" s="92"/>
      <c r="BP353" s="92"/>
      <c r="BQ353" s="92"/>
      <c r="BR353" s="92"/>
      <c r="BS353" s="92"/>
      <c r="BT353" s="92"/>
      <c r="BU353" s="92"/>
      <c r="BV353" s="92"/>
      <c r="BW353" s="92"/>
      <c r="BX353" s="92"/>
      <c r="BY353" s="92"/>
      <c r="BZ353" s="92"/>
      <c r="CA353" s="92"/>
      <c r="CB353" s="92"/>
      <c r="CC353" s="92"/>
      <c r="CD353" s="92"/>
      <c r="CE353" s="92"/>
      <c r="CF353" s="92"/>
      <c r="CG353" s="92"/>
      <c r="CH353" s="92"/>
      <c r="CI353" s="92"/>
      <c r="CJ353" s="92"/>
      <c r="CK353" s="92"/>
      <c r="CL353" s="92"/>
      <c r="CM353" s="92"/>
      <c r="CN353" s="92"/>
      <c r="CO353" s="92"/>
      <c r="CP353" s="92"/>
      <c r="CQ353" s="92"/>
      <c r="CR353" s="92"/>
      <c r="CS353" s="92"/>
      <c r="CT353" s="92"/>
      <c r="CU353" s="92"/>
      <c r="CV353" s="10"/>
    </row>
    <row r="354" spans="1:100" s="105" customFormat="1" x14ac:dyDescent="0.2">
      <c r="A354" s="407" t="s">
        <v>1005</v>
      </c>
      <c r="B354" s="406"/>
      <c r="C354" s="78"/>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2"/>
      <c r="AH354" s="92"/>
      <c r="AI354" s="92"/>
      <c r="AJ354" s="92"/>
      <c r="AK354" s="92"/>
      <c r="AL354" s="92"/>
      <c r="AM354" s="92"/>
      <c r="AN354" s="92"/>
      <c r="AO354" s="92"/>
      <c r="AP354" s="92"/>
      <c r="AQ354" s="92"/>
      <c r="AR354" s="92"/>
      <c r="AS354" s="92"/>
      <c r="AT354" s="92"/>
      <c r="AU354" s="92"/>
      <c r="AV354" s="92"/>
      <c r="AW354" s="92"/>
      <c r="AX354" s="92"/>
      <c r="AY354" s="92"/>
      <c r="AZ354" s="92"/>
      <c r="BA354" s="92"/>
      <c r="BB354" s="92"/>
      <c r="BC354" s="92"/>
      <c r="BD354" s="92"/>
      <c r="BE354" s="92"/>
      <c r="BF354" s="92"/>
      <c r="BG354" s="92"/>
      <c r="BH354" s="92"/>
      <c r="BI354" s="92"/>
      <c r="BJ354" s="92"/>
      <c r="BK354" s="92"/>
      <c r="BL354" s="92"/>
      <c r="BM354" s="92"/>
      <c r="BN354" s="92"/>
      <c r="BO354" s="92"/>
      <c r="BP354" s="92"/>
      <c r="BQ354" s="92"/>
      <c r="BR354" s="92"/>
      <c r="BS354" s="92"/>
      <c r="BT354" s="92"/>
      <c r="BU354" s="92"/>
      <c r="BV354" s="92"/>
      <c r="BW354" s="92"/>
      <c r="BX354" s="92"/>
      <c r="BY354" s="92"/>
      <c r="BZ354" s="92"/>
      <c r="CA354" s="92"/>
      <c r="CB354" s="92"/>
      <c r="CC354" s="92"/>
      <c r="CD354" s="92"/>
      <c r="CE354" s="92"/>
      <c r="CF354" s="92"/>
      <c r="CG354" s="92"/>
      <c r="CH354" s="92"/>
      <c r="CI354" s="92"/>
      <c r="CJ354" s="92"/>
      <c r="CK354" s="92"/>
      <c r="CL354" s="92"/>
      <c r="CM354" s="92"/>
      <c r="CN354" s="92"/>
      <c r="CO354" s="92"/>
      <c r="CP354" s="92"/>
      <c r="CQ354" s="92"/>
      <c r="CR354" s="92"/>
      <c r="CS354" s="92"/>
      <c r="CT354" s="92"/>
      <c r="CU354" s="92"/>
      <c r="CV354" s="10"/>
    </row>
    <row r="355" spans="1:100" s="105" customFormat="1" ht="25.5" x14ac:dyDescent="0.2">
      <c r="A355" s="92" t="s">
        <v>970</v>
      </c>
      <c r="B355" s="92" t="s">
        <v>999</v>
      </c>
      <c r="C355" s="78"/>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2"/>
      <c r="AH355" s="92"/>
      <c r="AI355" s="92"/>
      <c r="AJ355" s="92"/>
      <c r="AK355" s="92"/>
      <c r="AL355" s="92"/>
      <c r="AM355" s="92"/>
      <c r="AN355" s="92"/>
      <c r="AO355" s="92"/>
      <c r="AP355" s="92"/>
      <c r="AQ355" s="92"/>
      <c r="AR355" s="92"/>
      <c r="AS355" s="92"/>
      <c r="AT355" s="92"/>
      <c r="AU355" s="92"/>
      <c r="AV355" s="92"/>
      <c r="AW355" s="92"/>
      <c r="AX355" s="92"/>
      <c r="AY355" s="92"/>
      <c r="AZ355" s="92"/>
      <c r="BA355" s="92"/>
      <c r="BB355" s="92"/>
      <c r="BC355" s="92"/>
      <c r="BD355" s="92"/>
      <c r="BE355" s="92"/>
      <c r="BF355" s="92"/>
      <c r="BG355" s="92"/>
      <c r="BH355" s="92"/>
      <c r="BI355" s="92"/>
      <c r="BJ355" s="92"/>
      <c r="BK355" s="92"/>
      <c r="BL355" s="92"/>
      <c r="BM355" s="92"/>
      <c r="BN355" s="92"/>
      <c r="BO355" s="92"/>
      <c r="BP355" s="92"/>
      <c r="BQ355" s="92"/>
      <c r="BR355" s="92"/>
      <c r="BS355" s="92"/>
      <c r="BT355" s="92"/>
      <c r="BU355" s="92"/>
      <c r="BV355" s="92"/>
      <c r="BW355" s="92"/>
      <c r="BX355" s="92"/>
      <c r="BY355" s="92"/>
      <c r="BZ355" s="92"/>
      <c r="CA355" s="92"/>
      <c r="CB355" s="92"/>
      <c r="CC355" s="92"/>
      <c r="CD355" s="92"/>
      <c r="CE355" s="92"/>
      <c r="CF355" s="92"/>
      <c r="CG355" s="92"/>
      <c r="CH355" s="92"/>
      <c r="CI355" s="92"/>
      <c r="CJ355" s="92"/>
      <c r="CK355" s="92"/>
      <c r="CL355" s="92"/>
      <c r="CM355" s="92"/>
      <c r="CN355" s="92"/>
      <c r="CO355" s="92"/>
      <c r="CP355" s="92"/>
      <c r="CQ355" s="92"/>
      <c r="CR355" s="92"/>
      <c r="CS355" s="92"/>
      <c r="CT355" s="92"/>
      <c r="CU355" s="92"/>
      <c r="CV355" s="10"/>
    </row>
    <row r="356" spans="1:100" s="105" customFormat="1" ht="25.5" x14ac:dyDescent="0.2">
      <c r="A356" s="92" t="s">
        <v>971</v>
      </c>
      <c r="B356" s="92" t="s">
        <v>998</v>
      </c>
      <c r="C356" s="78"/>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2"/>
      <c r="AH356" s="92"/>
      <c r="AI356" s="92"/>
      <c r="AJ356" s="92"/>
      <c r="AK356" s="92"/>
      <c r="AL356" s="92"/>
      <c r="AM356" s="92"/>
      <c r="AN356" s="92"/>
      <c r="AO356" s="92"/>
      <c r="AP356" s="92"/>
      <c r="AQ356" s="92"/>
      <c r="AR356" s="92"/>
      <c r="AS356" s="92"/>
      <c r="AT356" s="92"/>
      <c r="AU356" s="92"/>
      <c r="AV356" s="92"/>
      <c r="AW356" s="92"/>
      <c r="AX356" s="92"/>
      <c r="AY356" s="92"/>
      <c r="AZ356" s="92"/>
      <c r="BA356" s="92"/>
      <c r="BB356" s="92"/>
      <c r="BC356" s="92"/>
      <c r="BD356" s="92"/>
      <c r="BE356" s="92"/>
      <c r="BF356" s="92"/>
      <c r="BG356" s="92"/>
      <c r="BH356" s="92"/>
      <c r="BI356" s="92"/>
      <c r="BJ356" s="92"/>
      <c r="BK356" s="92"/>
      <c r="BL356" s="92"/>
      <c r="BM356" s="92"/>
      <c r="BN356" s="92"/>
      <c r="BO356" s="92"/>
      <c r="BP356" s="92"/>
      <c r="BQ356" s="92"/>
      <c r="BR356" s="92"/>
      <c r="BS356" s="92"/>
      <c r="BT356" s="92"/>
      <c r="BU356" s="92"/>
      <c r="BV356" s="92"/>
      <c r="BW356" s="92"/>
      <c r="BX356" s="92"/>
      <c r="BY356" s="92"/>
      <c r="BZ356" s="92"/>
      <c r="CA356" s="92"/>
      <c r="CB356" s="92"/>
      <c r="CC356" s="92"/>
      <c r="CD356" s="92"/>
      <c r="CE356" s="92"/>
      <c r="CF356" s="92"/>
      <c r="CG356" s="92"/>
      <c r="CH356" s="92"/>
      <c r="CI356" s="92"/>
      <c r="CJ356" s="92"/>
      <c r="CK356" s="92"/>
      <c r="CL356" s="92"/>
      <c r="CM356" s="92"/>
      <c r="CN356" s="92"/>
      <c r="CO356" s="92"/>
      <c r="CP356" s="92"/>
      <c r="CQ356" s="92"/>
      <c r="CR356" s="92"/>
      <c r="CS356" s="92"/>
      <c r="CT356" s="92"/>
      <c r="CU356" s="92"/>
      <c r="CV356" s="10"/>
    </row>
    <row r="357" spans="1:100" s="105" customFormat="1" ht="25.5" x14ac:dyDescent="0.2">
      <c r="A357" s="92" t="s">
        <v>972</v>
      </c>
      <c r="B357" s="92" t="s">
        <v>997</v>
      </c>
      <c r="C357" s="78"/>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c r="AB357" s="92"/>
      <c r="AC357" s="92"/>
      <c r="AD357" s="92"/>
      <c r="AE357" s="92"/>
      <c r="AF357" s="92"/>
      <c r="AG357" s="92"/>
      <c r="AH357" s="92"/>
      <c r="AI357" s="92"/>
      <c r="AJ357" s="92"/>
      <c r="AK357" s="92"/>
      <c r="AL357" s="92"/>
      <c r="AM357" s="92"/>
      <c r="AN357" s="92"/>
      <c r="AO357" s="92"/>
      <c r="AP357" s="92"/>
      <c r="AQ357" s="92"/>
      <c r="AR357" s="92"/>
      <c r="AS357" s="92"/>
      <c r="AT357" s="92"/>
      <c r="AU357" s="92"/>
      <c r="AV357" s="92"/>
      <c r="AW357" s="92"/>
      <c r="AX357" s="92"/>
      <c r="AY357" s="92"/>
      <c r="AZ357" s="92"/>
      <c r="BA357" s="92"/>
      <c r="BB357" s="92"/>
      <c r="BC357" s="92"/>
      <c r="BD357" s="92"/>
      <c r="BE357" s="92"/>
      <c r="BF357" s="92"/>
      <c r="BG357" s="92"/>
      <c r="BH357" s="92"/>
      <c r="BI357" s="92"/>
      <c r="BJ357" s="92"/>
      <c r="BK357" s="92"/>
      <c r="BL357" s="92"/>
      <c r="BM357" s="92"/>
      <c r="BN357" s="92"/>
      <c r="BO357" s="92"/>
      <c r="BP357" s="92"/>
      <c r="BQ357" s="92"/>
      <c r="BR357" s="92"/>
      <c r="BS357" s="92"/>
      <c r="BT357" s="92"/>
      <c r="BU357" s="92"/>
      <c r="BV357" s="92"/>
      <c r="BW357" s="92"/>
      <c r="BX357" s="92"/>
      <c r="BY357" s="92"/>
      <c r="BZ357" s="92"/>
      <c r="CA357" s="92"/>
      <c r="CB357" s="92"/>
      <c r="CC357" s="92"/>
      <c r="CD357" s="92"/>
      <c r="CE357" s="92"/>
      <c r="CF357" s="92"/>
      <c r="CG357" s="92"/>
      <c r="CH357" s="92"/>
      <c r="CI357" s="92"/>
      <c r="CJ357" s="92"/>
      <c r="CK357" s="92"/>
      <c r="CL357" s="92"/>
      <c r="CM357" s="92"/>
      <c r="CN357" s="92"/>
      <c r="CO357" s="92"/>
      <c r="CP357" s="92"/>
      <c r="CQ357" s="92"/>
      <c r="CR357" s="92"/>
      <c r="CS357" s="92"/>
      <c r="CT357" s="92"/>
      <c r="CU357" s="92"/>
      <c r="CV357" s="10"/>
    </row>
    <row r="358" spans="1:100" s="105" customFormat="1" ht="25.5" x14ac:dyDescent="0.2">
      <c r="A358" s="92" t="s">
        <v>973</v>
      </c>
      <c r="B358" s="92" t="s">
        <v>996</v>
      </c>
      <c r="C358" s="78"/>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92"/>
      <c r="AN358" s="92"/>
      <c r="AO358" s="92"/>
      <c r="AP358" s="92"/>
      <c r="AQ358" s="92"/>
      <c r="AR358" s="92"/>
      <c r="AS358" s="92"/>
      <c r="AT358" s="92"/>
      <c r="AU358" s="92"/>
      <c r="AV358" s="92"/>
      <c r="AW358" s="92"/>
      <c r="AX358" s="92"/>
      <c r="AY358" s="92"/>
      <c r="AZ358" s="92"/>
      <c r="BA358" s="92"/>
      <c r="BB358" s="92"/>
      <c r="BC358" s="92"/>
      <c r="BD358" s="92"/>
      <c r="BE358" s="92"/>
      <c r="BF358" s="92"/>
      <c r="BG358" s="92"/>
      <c r="BH358" s="92"/>
      <c r="BI358" s="92"/>
      <c r="BJ358" s="92"/>
      <c r="BK358" s="92"/>
      <c r="BL358" s="92"/>
      <c r="BM358" s="92"/>
      <c r="BN358" s="92"/>
      <c r="BO358" s="92"/>
      <c r="BP358" s="92"/>
      <c r="BQ358" s="92"/>
      <c r="BR358" s="92"/>
      <c r="BS358" s="92"/>
      <c r="BT358" s="92"/>
      <c r="BU358" s="92"/>
      <c r="BV358" s="92"/>
      <c r="BW358" s="92"/>
      <c r="BX358" s="92"/>
      <c r="BY358" s="92"/>
      <c r="BZ358" s="92"/>
      <c r="CA358" s="92"/>
      <c r="CB358" s="92"/>
      <c r="CC358" s="92"/>
      <c r="CD358" s="92"/>
      <c r="CE358" s="92"/>
      <c r="CF358" s="92"/>
      <c r="CG358" s="92"/>
      <c r="CH358" s="92"/>
      <c r="CI358" s="92"/>
      <c r="CJ358" s="92"/>
      <c r="CK358" s="92"/>
      <c r="CL358" s="92"/>
      <c r="CM358" s="92"/>
      <c r="CN358" s="92"/>
      <c r="CO358" s="92"/>
      <c r="CP358" s="92"/>
      <c r="CQ358" s="92"/>
      <c r="CR358" s="92"/>
      <c r="CS358" s="92"/>
      <c r="CT358" s="92"/>
      <c r="CU358" s="92"/>
      <c r="CV358" s="10"/>
    </row>
    <row r="359" spans="1:100" s="105" customFormat="1" x14ac:dyDescent="0.2">
      <c r="A359" s="405" t="s">
        <v>1006</v>
      </c>
      <c r="B359" s="406"/>
      <c r="C359" s="78"/>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c r="AD359" s="92"/>
      <c r="AE359" s="92"/>
      <c r="AF359" s="92"/>
      <c r="AG359" s="92"/>
      <c r="AH359" s="92"/>
      <c r="AI359" s="92"/>
      <c r="AJ359" s="92"/>
      <c r="AK359" s="92"/>
      <c r="AL359" s="92"/>
      <c r="AM359" s="92"/>
      <c r="AN359" s="92"/>
      <c r="AO359" s="92"/>
      <c r="AP359" s="92"/>
      <c r="AQ359" s="92"/>
      <c r="AR359" s="92"/>
      <c r="AS359" s="92"/>
      <c r="AT359" s="92"/>
      <c r="AU359" s="92"/>
      <c r="AV359" s="92"/>
      <c r="AW359" s="92"/>
      <c r="AX359" s="92"/>
      <c r="AY359" s="92"/>
      <c r="AZ359" s="92"/>
      <c r="BA359" s="92"/>
      <c r="BB359" s="92"/>
      <c r="BC359" s="92"/>
      <c r="BD359" s="92"/>
      <c r="BE359" s="92"/>
      <c r="BF359" s="92"/>
      <c r="BG359" s="92"/>
      <c r="BH359" s="92"/>
      <c r="BI359" s="92"/>
      <c r="BJ359" s="92"/>
      <c r="BK359" s="92"/>
      <c r="BL359" s="92"/>
      <c r="BM359" s="92"/>
      <c r="BN359" s="92"/>
      <c r="BO359" s="92"/>
      <c r="BP359" s="92"/>
      <c r="BQ359" s="92"/>
      <c r="BR359" s="92"/>
      <c r="BS359" s="92"/>
      <c r="BT359" s="92"/>
      <c r="BU359" s="92"/>
      <c r="BV359" s="92"/>
      <c r="BW359" s="92"/>
      <c r="BX359" s="92"/>
      <c r="BY359" s="92"/>
      <c r="BZ359" s="92"/>
      <c r="CA359" s="92"/>
      <c r="CB359" s="92"/>
      <c r="CC359" s="92"/>
      <c r="CD359" s="92"/>
      <c r="CE359" s="92"/>
      <c r="CF359" s="92"/>
      <c r="CG359" s="92"/>
      <c r="CH359" s="92"/>
      <c r="CI359" s="92"/>
      <c r="CJ359" s="92"/>
      <c r="CK359" s="92"/>
      <c r="CL359" s="92"/>
      <c r="CM359" s="92"/>
      <c r="CN359" s="92"/>
      <c r="CO359" s="92"/>
      <c r="CP359" s="92"/>
      <c r="CQ359" s="92"/>
      <c r="CR359" s="92"/>
      <c r="CS359" s="92"/>
      <c r="CT359" s="92"/>
      <c r="CU359" s="92"/>
      <c r="CV359" s="10"/>
    </row>
    <row r="360" spans="1:100" s="105" customFormat="1" ht="25.5" x14ac:dyDescent="0.2">
      <c r="A360" s="92" t="s">
        <v>974</v>
      </c>
      <c r="B360" s="92" t="s">
        <v>995</v>
      </c>
      <c r="C360" s="78"/>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92"/>
      <c r="AW360" s="92"/>
      <c r="AX360" s="92"/>
      <c r="AY360" s="92"/>
      <c r="AZ360" s="92"/>
      <c r="BA360" s="92"/>
      <c r="BB360" s="92"/>
      <c r="BC360" s="92"/>
      <c r="BD360" s="92"/>
      <c r="BE360" s="92"/>
      <c r="BF360" s="92"/>
      <c r="BG360" s="92"/>
      <c r="BH360" s="92"/>
      <c r="BI360" s="92"/>
      <c r="BJ360" s="92"/>
      <c r="BK360" s="92"/>
      <c r="BL360" s="92"/>
      <c r="BM360" s="92"/>
      <c r="BN360" s="92"/>
      <c r="BO360" s="92"/>
      <c r="BP360" s="92"/>
      <c r="BQ360" s="92"/>
      <c r="BR360" s="92"/>
      <c r="BS360" s="92"/>
      <c r="BT360" s="92"/>
      <c r="BU360" s="92"/>
      <c r="BV360" s="92"/>
      <c r="BW360" s="92"/>
      <c r="BX360" s="92"/>
      <c r="BY360" s="92"/>
      <c r="BZ360" s="92"/>
      <c r="CA360" s="92"/>
      <c r="CB360" s="92"/>
      <c r="CC360" s="92"/>
      <c r="CD360" s="92"/>
      <c r="CE360" s="92"/>
      <c r="CF360" s="92"/>
      <c r="CG360" s="92"/>
      <c r="CH360" s="92"/>
      <c r="CI360" s="92"/>
      <c r="CJ360" s="92"/>
      <c r="CK360" s="92"/>
      <c r="CL360" s="92"/>
      <c r="CM360" s="92"/>
      <c r="CN360" s="92"/>
      <c r="CO360" s="92"/>
      <c r="CP360" s="92"/>
      <c r="CQ360" s="92"/>
      <c r="CR360" s="92"/>
      <c r="CS360" s="92"/>
      <c r="CT360" s="92"/>
      <c r="CU360" s="92"/>
      <c r="CV360" s="10"/>
    </row>
    <row r="361" spans="1:100" s="105" customFormat="1" ht="25.5" x14ac:dyDescent="0.2">
      <c r="A361" s="92" t="s">
        <v>975</v>
      </c>
      <c r="B361" s="92" t="s">
        <v>994</v>
      </c>
      <c r="C361" s="78"/>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92"/>
      <c r="AW361" s="92"/>
      <c r="AX361" s="92"/>
      <c r="AY361" s="92"/>
      <c r="AZ361" s="92"/>
      <c r="BA361" s="92"/>
      <c r="BB361" s="92"/>
      <c r="BC361" s="92"/>
      <c r="BD361" s="92"/>
      <c r="BE361" s="92"/>
      <c r="BF361" s="92"/>
      <c r="BG361" s="92"/>
      <c r="BH361" s="92"/>
      <c r="BI361" s="92"/>
      <c r="BJ361" s="92"/>
      <c r="BK361" s="92"/>
      <c r="BL361" s="92"/>
      <c r="BM361" s="92"/>
      <c r="BN361" s="92"/>
      <c r="BO361" s="92"/>
      <c r="BP361" s="92"/>
      <c r="BQ361" s="92"/>
      <c r="BR361" s="92"/>
      <c r="BS361" s="92"/>
      <c r="BT361" s="92"/>
      <c r="BU361" s="92"/>
      <c r="BV361" s="92"/>
      <c r="BW361" s="92"/>
      <c r="BX361" s="92"/>
      <c r="BY361" s="92"/>
      <c r="BZ361" s="92"/>
      <c r="CA361" s="92"/>
      <c r="CB361" s="92"/>
      <c r="CC361" s="92"/>
      <c r="CD361" s="92"/>
      <c r="CE361" s="92"/>
      <c r="CF361" s="92"/>
      <c r="CG361" s="92"/>
      <c r="CH361" s="92"/>
      <c r="CI361" s="92"/>
      <c r="CJ361" s="92"/>
      <c r="CK361" s="92"/>
      <c r="CL361" s="92"/>
      <c r="CM361" s="92"/>
      <c r="CN361" s="92"/>
      <c r="CO361" s="92"/>
      <c r="CP361" s="92"/>
      <c r="CQ361" s="92"/>
      <c r="CR361" s="92"/>
      <c r="CS361" s="92"/>
      <c r="CT361" s="92"/>
      <c r="CU361" s="92"/>
      <c r="CV361" s="10"/>
    </row>
    <row r="362" spans="1:100" s="105" customFormat="1" ht="25.5" x14ac:dyDescent="0.2">
      <c r="A362" s="92" t="s">
        <v>976</v>
      </c>
      <c r="B362" s="92" t="s">
        <v>993</v>
      </c>
      <c r="C362" s="78"/>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c r="AG362" s="92"/>
      <c r="AH362" s="92"/>
      <c r="AI362" s="92"/>
      <c r="AJ362" s="92"/>
      <c r="AK362" s="92"/>
      <c r="AL362" s="92"/>
      <c r="AM362" s="92"/>
      <c r="AN362" s="92"/>
      <c r="AO362" s="92"/>
      <c r="AP362" s="92"/>
      <c r="AQ362" s="92"/>
      <c r="AR362" s="92"/>
      <c r="AS362" s="92"/>
      <c r="AT362" s="92"/>
      <c r="AU362" s="92"/>
      <c r="AV362" s="92"/>
      <c r="AW362" s="92"/>
      <c r="AX362" s="92"/>
      <c r="AY362" s="92"/>
      <c r="AZ362" s="92"/>
      <c r="BA362" s="92"/>
      <c r="BB362" s="92"/>
      <c r="BC362" s="92"/>
      <c r="BD362" s="92"/>
      <c r="BE362" s="92"/>
      <c r="BF362" s="92"/>
      <c r="BG362" s="92"/>
      <c r="BH362" s="92"/>
      <c r="BI362" s="92"/>
      <c r="BJ362" s="92"/>
      <c r="BK362" s="92"/>
      <c r="BL362" s="92"/>
      <c r="BM362" s="92"/>
      <c r="BN362" s="92"/>
      <c r="BO362" s="92"/>
      <c r="BP362" s="92"/>
      <c r="BQ362" s="92"/>
      <c r="BR362" s="92"/>
      <c r="BS362" s="92"/>
      <c r="BT362" s="92"/>
      <c r="BU362" s="92"/>
      <c r="BV362" s="92"/>
      <c r="BW362" s="92"/>
      <c r="BX362" s="92"/>
      <c r="BY362" s="92"/>
      <c r="BZ362" s="92"/>
      <c r="CA362" s="92"/>
      <c r="CB362" s="92"/>
      <c r="CC362" s="92"/>
      <c r="CD362" s="92"/>
      <c r="CE362" s="92"/>
      <c r="CF362" s="92"/>
      <c r="CG362" s="92"/>
      <c r="CH362" s="92"/>
      <c r="CI362" s="92"/>
      <c r="CJ362" s="92"/>
      <c r="CK362" s="92"/>
      <c r="CL362" s="92"/>
      <c r="CM362" s="92"/>
      <c r="CN362" s="92"/>
      <c r="CO362" s="92"/>
      <c r="CP362" s="92"/>
      <c r="CQ362" s="92"/>
      <c r="CR362" s="92"/>
      <c r="CS362" s="92"/>
      <c r="CT362" s="92"/>
      <c r="CU362" s="92"/>
      <c r="CV362" s="10"/>
    </row>
    <row r="363" spans="1:100" s="105" customFormat="1" ht="25.5" x14ac:dyDescent="0.2">
      <c r="A363" s="92" t="s">
        <v>977</v>
      </c>
      <c r="B363" s="92" t="s">
        <v>991</v>
      </c>
      <c r="C363" s="78"/>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c r="AB363" s="92"/>
      <c r="AC363" s="92"/>
      <c r="AD363" s="92"/>
      <c r="AE363" s="92"/>
      <c r="AF363" s="92"/>
      <c r="AG363" s="92"/>
      <c r="AH363" s="92"/>
      <c r="AI363" s="92"/>
      <c r="AJ363" s="92"/>
      <c r="AK363" s="92"/>
      <c r="AL363" s="92"/>
      <c r="AM363" s="92"/>
      <c r="AN363" s="92"/>
      <c r="AO363" s="92"/>
      <c r="AP363" s="92"/>
      <c r="AQ363" s="92"/>
      <c r="AR363" s="92"/>
      <c r="AS363" s="92"/>
      <c r="AT363" s="92"/>
      <c r="AU363" s="92"/>
      <c r="AV363" s="92"/>
      <c r="AW363" s="92"/>
      <c r="AX363" s="92"/>
      <c r="AY363" s="92"/>
      <c r="AZ363" s="92"/>
      <c r="BA363" s="92"/>
      <c r="BB363" s="92"/>
      <c r="BC363" s="92"/>
      <c r="BD363" s="92"/>
      <c r="BE363" s="92"/>
      <c r="BF363" s="92"/>
      <c r="BG363" s="92"/>
      <c r="BH363" s="92"/>
      <c r="BI363" s="92"/>
      <c r="BJ363" s="92"/>
      <c r="BK363" s="92"/>
      <c r="BL363" s="92"/>
      <c r="BM363" s="92"/>
      <c r="BN363" s="92"/>
      <c r="BO363" s="92"/>
      <c r="BP363" s="92"/>
      <c r="BQ363" s="92"/>
      <c r="BR363" s="92"/>
      <c r="BS363" s="92"/>
      <c r="BT363" s="92"/>
      <c r="BU363" s="92"/>
      <c r="BV363" s="92"/>
      <c r="BW363" s="92"/>
      <c r="BX363" s="92"/>
      <c r="BY363" s="92"/>
      <c r="BZ363" s="92"/>
      <c r="CA363" s="92"/>
      <c r="CB363" s="92"/>
      <c r="CC363" s="92"/>
      <c r="CD363" s="92"/>
      <c r="CE363" s="92"/>
      <c r="CF363" s="92"/>
      <c r="CG363" s="92"/>
      <c r="CH363" s="92"/>
      <c r="CI363" s="92"/>
      <c r="CJ363" s="92"/>
      <c r="CK363" s="92"/>
      <c r="CL363" s="92"/>
      <c r="CM363" s="92"/>
      <c r="CN363" s="92"/>
      <c r="CO363" s="92"/>
      <c r="CP363" s="92"/>
      <c r="CQ363" s="92"/>
      <c r="CR363" s="92"/>
      <c r="CS363" s="92"/>
      <c r="CT363" s="92"/>
      <c r="CU363" s="92"/>
      <c r="CV363" s="10"/>
    </row>
    <row r="364" spans="1:100" s="105" customFormat="1" ht="25.5" x14ac:dyDescent="0.2">
      <c r="A364" s="92" t="s">
        <v>978</v>
      </c>
      <c r="B364" s="92" t="s">
        <v>992</v>
      </c>
      <c r="C364" s="78"/>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c r="AB364" s="92"/>
      <c r="AC364" s="92"/>
      <c r="AD364" s="92"/>
      <c r="AE364" s="92"/>
      <c r="AF364" s="92"/>
      <c r="AG364" s="92"/>
      <c r="AH364" s="92"/>
      <c r="AI364" s="92"/>
      <c r="AJ364" s="92"/>
      <c r="AK364" s="92"/>
      <c r="AL364" s="92"/>
      <c r="AM364" s="92"/>
      <c r="AN364" s="92"/>
      <c r="AO364" s="92"/>
      <c r="AP364" s="92"/>
      <c r="AQ364" s="92"/>
      <c r="AR364" s="92"/>
      <c r="AS364" s="92"/>
      <c r="AT364" s="92"/>
      <c r="AU364" s="92"/>
      <c r="AV364" s="92"/>
      <c r="AW364" s="92"/>
      <c r="AX364" s="92"/>
      <c r="AY364" s="92"/>
      <c r="AZ364" s="92"/>
      <c r="BA364" s="92"/>
      <c r="BB364" s="92"/>
      <c r="BC364" s="92"/>
      <c r="BD364" s="92"/>
      <c r="BE364" s="92"/>
      <c r="BF364" s="92"/>
      <c r="BG364" s="92"/>
      <c r="BH364" s="92"/>
      <c r="BI364" s="92"/>
      <c r="BJ364" s="92"/>
      <c r="BK364" s="92"/>
      <c r="BL364" s="92"/>
      <c r="BM364" s="92"/>
      <c r="BN364" s="92"/>
      <c r="BO364" s="92"/>
      <c r="BP364" s="92"/>
      <c r="BQ364" s="92"/>
      <c r="BR364" s="92"/>
      <c r="BS364" s="92"/>
      <c r="BT364" s="92"/>
      <c r="BU364" s="92"/>
      <c r="BV364" s="92"/>
      <c r="BW364" s="92"/>
      <c r="BX364" s="92"/>
      <c r="BY364" s="92"/>
      <c r="BZ364" s="92"/>
      <c r="CA364" s="92"/>
      <c r="CB364" s="92"/>
      <c r="CC364" s="92"/>
      <c r="CD364" s="92"/>
      <c r="CE364" s="92"/>
      <c r="CF364" s="92"/>
      <c r="CG364" s="92"/>
      <c r="CH364" s="92"/>
      <c r="CI364" s="92"/>
      <c r="CJ364" s="92"/>
      <c r="CK364" s="92"/>
      <c r="CL364" s="92"/>
      <c r="CM364" s="92"/>
      <c r="CN364" s="92"/>
      <c r="CO364" s="92"/>
      <c r="CP364" s="92"/>
      <c r="CQ364" s="92"/>
      <c r="CR364" s="92"/>
      <c r="CS364" s="92"/>
      <c r="CT364" s="92"/>
      <c r="CU364" s="92"/>
      <c r="CV364" s="10"/>
    </row>
    <row r="365" spans="1:100" s="105" customFormat="1" ht="25.5" x14ac:dyDescent="0.2">
      <c r="A365" s="92" t="s">
        <v>979</v>
      </c>
      <c r="B365" s="92" t="s">
        <v>990</v>
      </c>
      <c r="C365" s="78"/>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c r="AD365" s="92"/>
      <c r="AE365" s="92"/>
      <c r="AF365" s="92"/>
      <c r="AG365" s="92"/>
      <c r="AH365" s="92"/>
      <c r="AI365" s="92"/>
      <c r="AJ365" s="92"/>
      <c r="AK365" s="92"/>
      <c r="AL365" s="92"/>
      <c r="AM365" s="92"/>
      <c r="AN365" s="92"/>
      <c r="AO365" s="92"/>
      <c r="AP365" s="92"/>
      <c r="AQ365" s="92"/>
      <c r="AR365" s="92"/>
      <c r="AS365" s="92"/>
      <c r="AT365" s="92"/>
      <c r="AU365" s="92"/>
      <c r="AV365" s="92"/>
      <c r="AW365" s="92"/>
      <c r="AX365" s="92"/>
      <c r="AY365" s="92"/>
      <c r="AZ365" s="92"/>
      <c r="BA365" s="92"/>
      <c r="BB365" s="92"/>
      <c r="BC365" s="92"/>
      <c r="BD365" s="92"/>
      <c r="BE365" s="92"/>
      <c r="BF365" s="92"/>
      <c r="BG365" s="92"/>
      <c r="BH365" s="92"/>
      <c r="BI365" s="92"/>
      <c r="BJ365" s="92"/>
      <c r="BK365" s="92"/>
      <c r="BL365" s="92"/>
      <c r="BM365" s="92"/>
      <c r="BN365" s="92"/>
      <c r="BO365" s="92"/>
      <c r="BP365" s="92"/>
      <c r="BQ365" s="92"/>
      <c r="BR365" s="92"/>
      <c r="BS365" s="92"/>
      <c r="BT365" s="92"/>
      <c r="BU365" s="92"/>
      <c r="BV365" s="92"/>
      <c r="BW365" s="92"/>
      <c r="BX365" s="92"/>
      <c r="BY365" s="92"/>
      <c r="BZ365" s="92"/>
      <c r="CA365" s="92"/>
      <c r="CB365" s="92"/>
      <c r="CC365" s="92"/>
      <c r="CD365" s="92"/>
      <c r="CE365" s="92"/>
      <c r="CF365" s="92"/>
      <c r="CG365" s="92"/>
      <c r="CH365" s="92"/>
      <c r="CI365" s="92"/>
      <c r="CJ365" s="92"/>
      <c r="CK365" s="92"/>
      <c r="CL365" s="92"/>
      <c r="CM365" s="92"/>
      <c r="CN365" s="92"/>
      <c r="CO365" s="92"/>
      <c r="CP365" s="92"/>
      <c r="CQ365" s="92"/>
      <c r="CR365" s="92"/>
      <c r="CS365" s="92"/>
      <c r="CT365" s="92"/>
      <c r="CU365" s="92"/>
      <c r="CV365" s="10"/>
    </row>
    <row r="366" spans="1:100" s="105" customFormat="1" ht="25.5" x14ac:dyDescent="0.2">
      <c r="A366" s="92" t="s">
        <v>980</v>
      </c>
      <c r="B366" s="92" t="s">
        <v>989</v>
      </c>
      <c r="C366" s="78"/>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c r="AD366" s="92"/>
      <c r="AE366" s="92"/>
      <c r="AF366" s="92"/>
      <c r="AG366" s="92"/>
      <c r="AH366" s="92"/>
      <c r="AI366" s="92"/>
      <c r="AJ366" s="92"/>
      <c r="AK366" s="92"/>
      <c r="AL366" s="92"/>
      <c r="AM366" s="92"/>
      <c r="AN366" s="92"/>
      <c r="AO366" s="92"/>
      <c r="AP366" s="92"/>
      <c r="AQ366" s="92"/>
      <c r="AR366" s="92"/>
      <c r="AS366" s="92"/>
      <c r="AT366" s="92"/>
      <c r="AU366" s="92"/>
      <c r="AV366" s="92"/>
      <c r="AW366" s="92"/>
      <c r="AX366" s="92"/>
      <c r="AY366" s="92"/>
      <c r="AZ366" s="92"/>
      <c r="BA366" s="92"/>
      <c r="BB366" s="92"/>
      <c r="BC366" s="92"/>
      <c r="BD366" s="92"/>
      <c r="BE366" s="92"/>
      <c r="BF366" s="92"/>
      <c r="BG366" s="92"/>
      <c r="BH366" s="92"/>
      <c r="BI366" s="92"/>
      <c r="BJ366" s="92"/>
      <c r="BK366" s="92"/>
      <c r="BL366" s="92"/>
      <c r="BM366" s="92"/>
      <c r="BN366" s="92"/>
      <c r="BO366" s="92"/>
      <c r="BP366" s="92"/>
      <c r="BQ366" s="92"/>
      <c r="BR366" s="92"/>
      <c r="BS366" s="92"/>
      <c r="BT366" s="92"/>
      <c r="BU366" s="92"/>
      <c r="BV366" s="92"/>
      <c r="BW366" s="92"/>
      <c r="BX366" s="92"/>
      <c r="BY366" s="92"/>
      <c r="BZ366" s="92"/>
      <c r="CA366" s="92"/>
      <c r="CB366" s="92"/>
      <c r="CC366" s="92"/>
      <c r="CD366" s="92"/>
      <c r="CE366" s="92"/>
      <c r="CF366" s="92"/>
      <c r="CG366" s="92"/>
      <c r="CH366" s="92"/>
      <c r="CI366" s="92"/>
      <c r="CJ366" s="92"/>
      <c r="CK366" s="92"/>
      <c r="CL366" s="92"/>
      <c r="CM366" s="92"/>
      <c r="CN366" s="92"/>
      <c r="CO366" s="92"/>
      <c r="CP366" s="92"/>
      <c r="CQ366" s="92"/>
      <c r="CR366" s="92"/>
      <c r="CS366" s="92"/>
      <c r="CT366" s="92"/>
      <c r="CU366" s="92"/>
      <c r="CV366" s="10"/>
    </row>
    <row r="367" spans="1:100" s="105" customFormat="1" ht="140.25" x14ac:dyDescent="0.2">
      <c r="A367" s="92" t="s">
        <v>984</v>
      </c>
      <c r="B367" s="92" t="s">
        <v>988</v>
      </c>
      <c r="C367" s="78"/>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c r="AD367" s="92"/>
      <c r="AE367" s="92"/>
      <c r="AF367" s="92"/>
      <c r="AG367" s="92"/>
      <c r="AH367" s="92"/>
      <c r="AI367" s="92"/>
      <c r="AJ367" s="92"/>
      <c r="AK367" s="92"/>
      <c r="AL367" s="92"/>
      <c r="AM367" s="92"/>
      <c r="AN367" s="92"/>
      <c r="AO367" s="92"/>
      <c r="AP367" s="92"/>
      <c r="AQ367" s="92"/>
      <c r="AR367" s="92"/>
      <c r="AS367" s="92"/>
      <c r="AT367" s="92"/>
      <c r="AU367" s="92"/>
      <c r="AV367" s="92"/>
      <c r="AW367" s="92"/>
      <c r="AX367" s="92"/>
      <c r="AY367" s="92"/>
      <c r="AZ367" s="92"/>
      <c r="BA367" s="92"/>
      <c r="BB367" s="92"/>
      <c r="BC367" s="92"/>
      <c r="BD367" s="92"/>
      <c r="BE367" s="92"/>
      <c r="BF367" s="92"/>
      <c r="BG367" s="92"/>
      <c r="BH367" s="92"/>
      <c r="BI367" s="92"/>
      <c r="BJ367" s="92"/>
      <c r="BK367" s="92"/>
      <c r="BL367" s="92"/>
      <c r="BM367" s="92"/>
      <c r="BN367" s="92"/>
      <c r="BO367" s="92"/>
      <c r="BP367" s="92"/>
      <c r="BQ367" s="92"/>
      <c r="BR367" s="92"/>
      <c r="BS367" s="92"/>
      <c r="BT367" s="92"/>
      <c r="BU367" s="92"/>
      <c r="BV367" s="92"/>
      <c r="BW367" s="92"/>
      <c r="BX367" s="92"/>
      <c r="BY367" s="92"/>
      <c r="BZ367" s="92"/>
      <c r="CA367" s="92"/>
      <c r="CB367" s="92"/>
      <c r="CC367" s="92"/>
      <c r="CD367" s="92"/>
      <c r="CE367" s="92"/>
      <c r="CF367" s="92"/>
      <c r="CG367" s="92"/>
      <c r="CH367" s="92"/>
      <c r="CI367" s="92"/>
      <c r="CJ367" s="92"/>
      <c r="CK367" s="92"/>
      <c r="CL367" s="92"/>
      <c r="CM367" s="92"/>
      <c r="CN367" s="92"/>
      <c r="CO367" s="92"/>
      <c r="CP367" s="92"/>
      <c r="CQ367" s="92"/>
      <c r="CR367" s="92"/>
      <c r="CS367" s="92"/>
      <c r="CT367" s="92"/>
      <c r="CU367" s="92"/>
      <c r="CV367" s="10"/>
    </row>
    <row r="368" spans="1:100" s="105" customFormat="1" x14ac:dyDescent="0.2">
      <c r="A368" s="407" t="s">
        <v>1007</v>
      </c>
      <c r="B368" s="406"/>
      <c r="C368" s="78"/>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c r="AB368" s="92"/>
      <c r="AC368" s="92"/>
      <c r="AD368" s="92"/>
      <c r="AE368" s="92"/>
      <c r="AF368" s="92"/>
      <c r="AG368" s="92"/>
      <c r="AH368" s="92"/>
      <c r="AI368" s="92"/>
      <c r="AJ368" s="92"/>
      <c r="AK368" s="92"/>
      <c r="AL368" s="92"/>
      <c r="AM368" s="92"/>
      <c r="AN368" s="92"/>
      <c r="AO368" s="92"/>
      <c r="AP368" s="92"/>
      <c r="AQ368" s="92"/>
      <c r="AR368" s="92"/>
      <c r="AS368" s="92"/>
      <c r="AT368" s="92"/>
      <c r="AU368" s="92"/>
      <c r="AV368" s="92"/>
      <c r="AW368" s="92"/>
      <c r="AX368" s="92"/>
      <c r="AY368" s="92"/>
      <c r="AZ368" s="92"/>
      <c r="BA368" s="92"/>
      <c r="BB368" s="92"/>
      <c r="BC368" s="92"/>
      <c r="BD368" s="92"/>
      <c r="BE368" s="92"/>
      <c r="BF368" s="92"/>
      <c r="BG368" s="92"/>
      <c r="BH368" s="92"/>
      <c r="BI368" s="92"/>
      <c r="BJ368" s="92"/>
      <c r="BK368" s="92"/>
      <c r="BL368" s="92"/>
      <c r="BM368" s="92"/>
      <c r="BN368" s="92"/>
      <c r="BO368" s="92"/>
      <c r="BP368" s="92"/>
      <c r="BQ368" s="92"/>
      <c r="BR368" s="92"/>
      <c r="BS368" s="92"/>
      <c r="BT368" s="92"/>
      <c r="BU368" s="92"/>
      <c r="BV368" s="92"/>
      <c r="BW368" s="92"/>
      <c r="BX368" s="92"/>
      <c r="BY368" s="92"/>
      <c r="BZ368" s="92"/>
      <c r="CA368" s="92"/>
      <c r="CB368" s="92"/>
      <c r="CC368" s="92"/>
      <c r="CD368" s="92"/>
      <c r="CE368" s="92"/>
      <c r="CF368" s="92"/>
      <c r="CG368" s="92"/>
      <c r="CH368" s="92"/>
      <c r="CI368" s="92"/>
      <c r="CJ368" s="92"/>
      <c r="CK368" s="92"/>
      <c r="CL368" s="92"/>
      <c r="CM368" s="92"/>
      <c r="CN368" s="92"/>
      <c r="CO368" s="92"/>
      <c r="CP368" s="92"/>
      <c r="CQ368" s="92"/>
      <c r="CR368" s="92"/>
      <c r="CS368" s="92"/>
      <c r="CT368" s="92"/>
      <c r="CU368" s="92"/>
      <c r="CV368" s="10"/>
    </row>
    <row r="369" spans="1:100" s="105" customFormat="1" ht="25.5" x14ac:dyDescent="0.2">
      <c r="A369" s="92" t="s">
        <v>981</v>
      </c>
      <c r="B369" s="92" t="s">
        <v>987</v>
      </c>
      <c r="C369" s="78"/>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c r="AB369" s="92"/>
      <c r="AC369" s="92"/>
      <c r="AD369" s="92"/>
      <c r="AE369" s="92"/>
      <c r="AF369" s="92"/>
      <c r="AG369" s="92"/>
      <c r="AH369" s="92"/>
      <c r="AI369" s="92"/>
      <c r="AJ369" s="92"/>
      <c r="AK369" s="92"/>
      <c r="AL369" s="92"/>
      <c r="AM369" s="92"/>
      <c r="AN369" s="92"/>
      <c r="AO369" s="92"/>
      <c r="AP369" s="92"/>
      <c r="AQ369" s="92"/>
      <c r="AR369" s="92"/>
      <c r="AS369" s="92"/>
      <c r="AT369" s="92"/>
      <c r="AU369" s="92"/>
      <c r="AV369" s="92"/>
      <c r="AW369" s="92"/>
      <c r="AX369" s="92"/>
      <c r="AY369" s="92"/>
      <c r="AZ369" s="92"/>
      <c r="BA369" s="92"/>
      <c r="BB369" s="92"/>
      <c r="BC369" s="92"/>
      <c r="BD369" s="92"/>
      <c r="BE369" s="92"/>
      <c r="BF369" s="92"/>
      <c r="BG369" s="92"/>
      <c r="BH369" s="92"/>
      <c r="BI369" s="92"/>
      <c r="BJ369" s="92"/>
      <c r="BK369" s="92"/>
      <c r="BL369" s="92"/>
      <c r="BM369" s="92"/>
      <c r="BN369" s="92"/>
      <c r="BO369" s="92"/>
      <c r="BP369" s="92"/>
      <c r="BQ369" s="92"/>
      <c r="BR369" s="92"/>
      <c r="BS369" s="92"/>
      <c r="BT369" s="92"/>
      <c r="BU369" s="92"/>
      <c r="BV369" s="92"/>
      <c r="BW369" s="92"/>
      <c r="BX369" s="92"/>
      <c r="BY369" s="92"/>
      <c r="BZ369" s="92"/>
      <c r="CA369" s="92"/>
      <c r="CB369" s="92"/>
      <c r="CC369" s="92"/>
      <c r="CD369" s="92"/>
      <c r="CE369" s="92"/>
      <c r="CF369" s="92"/>
      <c r="CG369" s="92"/>
      <c r="CH369" s="92"/>
      <c r="CI369" s="92"/>
      <c r="CJ369" s="92"/>
      <c r="CK369" s="92"/>
      <c r="CL369" s="92"/>
      <c r="CM369" s="92"/>
      <c r="CN369" s="92"/>
      <c r="CO369" s="92"/>
      <c r="CP369" s="92"/>
      <c r="CQ369" s="92"/>
      <c r="CR369" s="92"/>
      <c r="CS369" s="92"/>
      <c r="CT369" s="92"/>
      <c r="CU369" s="92"/>
      <c r="CV369" s="10"/>
    </row>
    <row r="370" spans="1:100" s="105" customFormat="1" ht="25.5" x14ac:dyDescent="0.2">
      <c r="A370" s="92" t="s">
        <v>985</v>
      </c>
      <c r="B370" s="92" t="s">
        <v>986</v>
      </c>
      <c r="C370" s="78"/>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c r="AD370" s="92"/>
      <c r="AE370" s="92"/>
      <c r="AF370" s="92"/>
      <c r="AG370" s="92"/>
      <c r="AH370" s="92"/>
      <c r="AI370" s="92"/>
      <c r="AJ370" s="92"/>
      <c r="AK370" s="92"/>
      <c r="AL370" s="92"/>
      <c r="AM370" s="92"/>
      <c r="AN370" s="92"/>
      <c r="AO370" s="92"/>
      <c r="AP370" s="92"/>
      <c r="AQ370" s="92"/>
      <c r="AR370" s="92"/>
      <c r="AS370" s="92"/>
      <c r="AT370" s="92"/>
      <c r="AU370" s="92"/>
      <c r="AV370" s="92"/>
      <c r="AW370" s="92"/>
      <c r="AX370" s="92"/>
      <c r="AY370" s="92"/>
      <c r="AZ370" s="92"/>
      <c r="BA370" s="92"/>
      <c r="BB370" s="92"/>
      <c r="BC370" s="92"/>
      <c r="BD370" s="92"/>
      <c r="BE370" s="92"/>
      <c r="BF370" s="92"/>
      <c r="BG370" s="92"/>
      <c r="BH370" s="92"/>
      <c r="BI370" s="92"/>
      <c r="BJ370" s="92"/>
      <c r="BK370" s="92"/>
      <c r="BL370" s="92"/>
      <c r="BM370" s="92"/>
      <c r="BN370" s="92"/>
      <c r="BO370" s="92"/>
      <c r="BP370" s="92"/>
      <c r="BQ370" s="92"/>
      <c r="BR370" s="92"/>
      <c r="BS370" s="92"/>
      <c r="BT370" s="92"/>
      <c r="BU370" s="92"/>
      <c r="BV370" s="92"/>
      <c r="BW370" s="92"/>
      <c r="BX370" s="92"/>
      <c r="BY370" s="92"/>
      <c r="BZ370" s="92"/>
      <c r="CA370" s="92"/>
      <c r="CB370" s="92"/>
      <c r="CC370" s="92"/>
      <c r="CD370" s="92"/>
      <c r="CE370" s="92"/>
      <c r="CF370" s="92"/>
      <c r="CG370" s="92"/>
      <c r="CH370" s="92"/>
      <c r="CI370" s="92"/>
      <c r="CJ370" s="92"/>
      <c r="CK370" s="92"/>
      <c r="CL370" s="92"/>
      <c r="CM370" s="92"/>
      <c r="CN370" s="92"/>
      <c r="CO370" s="92"/>
      <c r="CP370" s="92"/>
      <c r="CQ370" s="92"/>
      <c r="CR370" s="92"/>
      <c r="CS370" s="92"/>
      <c r="CT370" s="92"/>
      <c r="CU370" s="92"/>
      <c r="CV370" s="10"/>
    </row>
    <row r="371" spans="1:100" s="105" customFormat="1" ht="15" x14ac:dyDescent="0.2">
      <c r="A371" s="108"/>
      <c r="B371" s="108"/>
      <c r="C371" s="78"/>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c r="AB371" s="92"/>
      <c r="AC371" s="92"/>
      <c r="AD371" s="92"/>
      <c r="AE371" s="92"/>
      <c r="AF371" s="92"/>
      <c r="AG371" s="92"/>
      <c r="AH371" s="92"/>
      <c r="AI371" s="92"/>
      <c r="AJ371" s="92"/>
      <c r="AK371" s="92"/>
      <c r="AL371" s="92"/>
      <c r="AM371" s="92"/>
      <c r="AN371" s="92"/>
      <c r="AO371" s="92"/>
      <c r="AP371" s="92"/>
      <c r="AQ371" s="92"/>
      <c r="AR371" s="92"/>
      <c r="AS371" s="92"/>
      <c r="AT371" s="92"/>
      <c r="AU371" s="92"/>
      <c r="AV371" s="92"/>
      <c r="AW371" s="92"/>
      <c r="AX371" s="92"/>
      <c r="AY371" s="92"/>
      <c r="AZ371" s="92"/>
      <c r="BA371" s="92"/>
      <c r="BB371" s="92"/>
      <c r="BC371" s="92"/>
      <c r="BD371" s="92"/>
      <c r="BE371" s="92"/>
      <c r="BF371" s="92"/>
      <c r="BG371" s="92"/>
      <c r="BH371" s="92"/>
      <c r="BI371" s="92"/>
      <c r="BJ371" s="92"/>
      <c r="BK371" s="92"/>
      <c r="BL371" s="92"/>
      <c r="BM371" s="92"/>
      <c r="BN371" s="92"/>
      <c r="BO371" s="92"/>
      <c r="BP371" s="92"/>
      <c r="BQ371" s="92"/>
      <c r="BR371" s="92"/>
      <c r="BS371" s="92"/>
      <c r="BT371" s="92"/>
      <c r="BU371" s="92"/>
      <c r="BV371" s="92"/>
      <c r="BW371" s="92"/>
      <c r="BX371" s="92"/>
      <c r="BY371" s="92"/>
      <c r="BZ371" s="92"/>
      <c r="CA371" s="92"/>
      <c r="CB371" s="92"/>
      <c r="CC371" s="92"/>
      <c r="CD371" s="92"/>
      <c r="CE371" s="92"/>
      <c r="CF371" s="92"/>
      <c r="CG371" s="92"/>
      <c r="CH371" s="92"/>
      <c r="CI371" s="92"/>
      <c r="CJ371" s="92"/>
      <c r="CK371" s="92"/>
      <c r="CL371" s="92"/>
      <c r="CM371" s="92"/>
      <c r="CN371" s="92"/>
      <c r="CO371" s="92"/>
      <c r="CP371" s="92"/>
      <c r="CQ371" s="92"/>
      <c r="CR371" s="92"/>
      <c r="CS371" s="92"/>
      <c r="CT371" s="92"/>
      <c r="CU371" s="92"/>
      <c r="CV371" s="10"/>
    </row>
    <row r="372" spans="1:100" ht="15" x14ac:dyDescent="0.2">
      <c r="A372" s="108"/>
      <c r="B372" s="134"/>
    </row>
    <row r="373" spans="1:100" ht="15" x14ac:dyDescent="0.2">
      <c r="A373" s="150"/>
      <c r="B373" s="148" t="s">
        <v>870</v>
      </c>
    </row>
    <row r="374" spans="1:100" ht="30" x14ac:dyDescent="0.2">
      <c r="A374" s="151" t="s">
        <v>951</v>
      </c>
      <c r="B374" s="149" t="s">
        <v>931</v>
      </c>
    </row>
    <row r="375" spans="1:100" ht="15" x14ac:dyDescent="0.2">
      <c r="A375" s="108"/>
      <c r="B375" s="169" t="s">
        <v>892</v>
      </c>
    </row>
    <row r="376" spans="1:100" ht="15" x14ac:dyDescent="0.2">
      <c r="A376" s="108"/>
      <c r="B376" s="169" t="s">
        <v>893</v>
      </c>
    </row>
    <row r="377" spans="1:100" ht="15" x14ac:dyDescent="0.2">
      <c r="A377" s="108"/>
      <c r="B377" s="169" t="s">
        <v>871</v>
      </c>
    </row>
    <row r="378" spans="1:100" ht="15" x14ac:dyDescent="0.2">
      <c r="A378" s="108"/>
      <c r="B378" s="169" t="s">
        <v>872</v>
      </c>
    </row>
    <row r="379" spans="1:100" ht="90" x14ac:dyDescent="0.2">
      <c r="A379" s="108" t="s">
        <v>921</v>
      </c>
      <c r="B379" s="169" t="s">
        <v>873</v>
      </c>
    </row>
    <row r="380" spans="1:100" ht="15" x14ac:dyDescent="0.2">
      <c r="A380" s="108"/>
      <c r="B380" s="169" t="s">
        <v>874</v>
      </c>
    </row>
    <row r="381" spans="1:100" ht="15" x14ac:dyDescent="0.2">
      <c r="A381" s="108"/>
      <c r="B381" s="169" t="s">
        <v>875</v>
      </c>
    </row>
    <row r="382" spans="1:100" ht="15" x14ac:dyDescent="0.2">
      <c r="A382" s="108"/>
      <c r="B382" s="169" t="s">
        <v>876</v>
      </c>
    </row>
    <row r="383" spans="1:100" ht="15" x14ac:dyDescent="0.2">
      <c r="A383" s="108"/>
      <c r="B383" s="169" t="s">
        <v>877</v>
      </c>
    </row>
    <row r="384" spans="1:100" ht="15" x14ac:dyDescent="0.2">
      <c r="A384" s="108"/>
      <c r="B384" s="169" t="s">
        <v>878</v>
      </c>
    </row>
    <row r="385" spans="1:100" ht="15" x14ac:dyDescent="0.2">
      <c r="A385" s="108"/>
      <c r="B385" s="169" t="s">
        <v>879</v>
      </c>
    </row>
    <row r="386" spans="1:100" ht="15" x14ac:dyDescent="0.2">
      <c r="A386" s="108"/>
      <c r="B386" s="169" t="s">
        <v>880</v>
      </c>
    </row>
    <row r="387" spans="1:100" ht="15" x14ac:dyDescent="0.2">
      <c r="A387" s="108"/>
      <c r="B387" s="169" t="s">
        <v>881</v>
      </c>
    </row>
    <row r="388" spans="1:100" ht="15" x14ac:dyDescent="0.2">
      <c r="A388" s="108"/>
      <c r="B388" s="169" t="s">
        <v>882</v>
      </c>
    </row>
    <row r="389" spans="1:100" ht="15" x14ac:dyDescent="0.2">
      <c r="A389" s="108"/>
      <c r="B389" s="169" t="s">
        <v>883</v>
      </c>
    </row>
    <row r="390" spans="1:100" ht="15" x14ac:dyDescent="0.2">
      <c r="A390" s="108"/>
      <c r="B390" s="169" t="s">
        <v>884</v>
      </c>
    </row>
    <row r="391" spans="1:100" ht="15" x14ac:dyDescent="0.2">
      <c r="A391" s="108"/>
      <c r="B391" s="169" t="s">
        <v>885</v>
      </c>
    </row>
    <row r="392" spans="1:100" ht="15" x14ac:dyDescent="0.2">
      <c r="A392" s="108"/>
      <c r="B392" s="169" t="s">
        <v>886</v>
      </c>
    </row>
    <row r="393" spans="1:100" ht="15" x14ac:dyDescent="0.2">
      <c r="A393" s="108"/>
      <c r="B393" s="169" t="s">
        <v>887</v>
      </c>
    </row>
    <row r="394" spans="1:100" ht="45" x14ac:dyDescent="0.2">
      <c r="A394" s="108" t="s">
        <v>912</v>
      </c>
      <c r="B394" s="169" t="s">
        <v>888</v>
      </c>
    </row>
    <row r="395" spans="1:100" s="105" customFormat="1" ht="45" x14ac:dyDescent="0.2">
      <c r="A395" s="108" t="s">
        <v>912</v>
      </c>
      <c r="B395" s="134" t="s">
        <v>900</v>
      </c>
      <c r="C395" s="78"/>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c r="AB395" s="92"/>
      <c r="AC395" s="92"/>
      <c r="AD395" s="92"/>
      <c r="AE395" s="92"/>
      <c r="AF395" s="92"/>
      <c r="AG395" s="92"/>
      <c r="AH395" s="92"/>
      <c r="AI395" s="92"/>
      <c r="AJ395" s="92"/>
      <c r="AK395" s="92"/>
      <c r="AL395" s="92"/>
      <c r="AM395" s="92"/>
      <c r="AN395" s="92"/>
      <c r="AO395" s="92"/>
      <c r="AP395" s="92"/>
      <c r="AQ395" s="92"/>
      <c r="AR395" s="92"/>
      <c r="AS395" s="92"/>
      <c r="AT395" s="92"/>
      <c r="AU395" s="92"/>
      <c r="AV395" s="92"/>
      <c r="AW395" s="92"/>
      <c r="AX395" s="92"/>
      <c r="AY395" s="92"/>
      <c r="AZ395" s="92"/>
      <c r="BA395" s="92"/>
      <c r="BB395" s="92"/>
      <c r="BC395" s="92"/>
      <c r="BD395" s="92"/>
      <c r="BE395" s="92"/>
      <c r="BF395" s="92"/>
      <c r="BG395" s="92"/>
      <c r="BH395" s="92"/>
      <c r="BI395" s="92"/>
      <c r="BJ395" s="92"/>
      <c r="BK395" s="92"/>
      <c r="BL395" s="92"/>
      <c r="BM395" s="92"/>
      <c r="BN395" s="92"/>
      <c r="BO395" s="92"/>
      <c r="BP395" s="92"/>
      <c r="BQ395" s="92"/>
      <c r="BR395" s="92"/>
      <c r="BS395" s="92"/>
      <c r="BT395" s="92"/>
      <c r="BU395" s="92"/>
      <c r="BV395" s="92"/>
      <c r="BW395" s="92"/>
      <c r="BX395" s="92"/>
      <c r="BY395" s="92"/>
      <c r="BZ395" s="92"/>
      <c r="CA395" s="92"/>
      <c r="CB395" s="92"/>
      <c r="CC395" s="92"/>
      <c r="CD395" s="92"/>
      <c r="CE395" s="92"/>
      <c r="CF395" s="92"/>
      <c r="CG395" s="92"/>
      <c r="CH395" s="92"/>
      <c r="CI395" s="92"/>
      <c r="CJ395" s="92"/>
      <c r="CK395" s="92"/>
      <c r="CL395" s="92"/>
      <c r="CM395" s="92"/>
      <c r="CN395" s="92"/>
      <c r="CO395" s="92"/>
      <c r="CP395" s="92"/>
      <c r="CQ395" s="92"/>
      <c r="CR395" s="92"/>
      <c r="CS395" s="92"/>
      <c r="CT395" s="92"/>
      <c r="CU395" s="92"/>
      <c r="CV395" s="10"/>
    </row>
    <row r="396" spans="1:100" ht="15" x14ac:dyDescent="0.2">
      <c r="A396" s="108"/>
      <c r="B396" s="169" t="s">
        <v>889</v>
      </c>
    </row>
    <row r="397" spans="1:100" ht="15" x14ac:dyDescent="0.2">
      <c r="A397" s="108"/>
      <c r="B397" s="169" t="s">
        <v>890</v>
      </c>
    </row>
    <row r="398" spans="1:100" ht="45" x14ac:dyDescent="0.2">
      <c r="A398" s="108" t="s">
        <v>910</v>
      </c>
      <c r="B398" s="169" t="s">
        <v>891</v>
      </c>
    </row>
    <row r="399" spans="1:100" ht="15" x14ac:dyDescent="0.2">
      <c r="A399" s="108"/>
      <c r="B399" s="134"/>
    </row>
    <row r="400" spans="1:100" ht="90" x14ac:dyDescent="0.2">
      <c r="A400" s="108" t="s">
        <v>930</v>
      </c>
      <c r="B400" s="134" t="s">
        <v>894</v>
      </c>
    </row>
    <row r="401" spans="1:2" ht="45" x14ac:dyDescent="0.2">
      <c r="A401" s="108" t="s">
        <v>925</v>
      </c>
      <c r="B401" s="134" t="s">
        <v>895</v>
      </c>
    </row>
    <row r="402" spans="1:2" ht="45" x14ac:dyDescent="0.2">
      <c r="A402" s="108" t="s">
        <v>929</v>
      </c>
      <c r="B402" s="134" t="s">
        <v>896</v>
      </c>
    </row>
    <row r="403" spans="1:2" ht="45" x14ac:dyDescent="0.2">
      <c r="A403" s="108" t="s">
        <v>924</v>
      </c>
      <c r="B403" s="134" t="s">
        <v>897</v>
      </c>
    </row>
    <row r="404" spans="1:2" ht="90" x14ac:dyDescent="0.2">
      <c r="A404" s="108" t="s">
        <v>926</v>
      </c>
      <c r="B404" s="134" t="s">
        <v>898</v>
      </c>
    </row>
    <row r="405" spans="1:2" ht="45" x14ac:dyDescent="0.2">
      <c r="A405" s="108" t="s">
        <v>916</v>
      </c>
      <c r="B405" s="134" t="s">
        <v>899</v>
      </c>
    </row>
    <row r="406" spans="1:2" ht="45" x14ac:dyDescent="0.2">
      <c r="A406" s="108" t="s">
        <v>917</v>
      </c>
      <c r="B406" s="134" t="s">
        <v>901</v>
      </c>
    </row>
    <row r="407" spans="1:2" ht="45" x14ac:dyDescent="0.2">
      <c r="A407" s="108" t="s">
        <v>915</v>
      </c>
      <c r="B407" s="134" t="s">
        <v>902</v>
      </c>
    </row>
    <row r="408" spans="1:2" ht="45" x14ac:dyDescent="0.2">
      <c r="A408" s="108" t="s">
        <v>911</v>
      </c>
      <c r="B408" s="134" t="s">
        <v>903</v>
      </c>
    </row>
    <row r="409" spans="1:2" ht="45" x14ac:dyDescent="0.2">
      <c r="A409" s="108" t="s">
        <v>919</v>
      </c>
      <c r="B409" s="134" t="s">
        <v>904</v>
      </c>
    </row>
    <row r="410" spans="1:2" ht="45" x14ac:dyDescent="0.2">
      <c r="A410" s="108" t="s">
        <v>920</v>
      </c>
      <c r="B410" s="134" t="s">
        <v>905</v>
      </c>
    </row>
    <row r="411" spans="1:2" ht="15" x14ac:dyDescent="0.2">
      <c r="A411" s="108"/>
      <c r="B411" s="134" t="s">
        <v>906</v>
      </c>
    </row>
    <row r="412" spans="1:2" ht="45" x14ac:dyDescent="0.2">
      <c r="A412" s="108" t="s">
        <v>909</v>
      </c>
      <c r="B412" s="134" t="s">
        <v>907</v>
      </c>
    </row>
    <row r="413" spans="1:2" ht="45" x14ac:dyDescent="0.2">
      <c r="A413" s="108" t="s">
        <v>918</v>
      </c>
      <c r="B413" s="134" t="s">
        <v>908</v>
      </c>
    </row>
    <row r="414" spans="1:2" x14ac:dyDescent="0.2">
      <c r="A414" s="81"/>
      <c r="B414" s="155" t="s">
        <v>923</v>
      </c>
    </row>
    <row r="415" spans="1:2" ht="409.5" x14ac:dyDescent="0.2">
      <c r="B415" s="105" t="s">
        <v>913</v>
      </c>
    </row>
    <row r="416" spans="1:2" ht="369.75" x14ac:dyDescent="0.2">
      <c r="B416" s="105" t="s">
        <v>914</v>
      </c>
    </row>
    <row r="417" spans="2:2" ht="369.75" x14ac:dyDescent="0.2">
      <c r="B417" s="105" t="s">
        <v>927</v>
      </c>
    </row>
    <row r="418" spans="2:2" ht="409.5" x14ac:dyDescent="0.2">
      <c r="B418" s="105" t="s">
        <v>922</v>
      </c>
    </row>
    <row r="419" spans="2:2" ht="357" x14ac:dyDescent="0.2">
      <c r="B419" s="105" t="s">
        <v>928</v>
      </c>
    </row>
  </sheetData>
  <mergeCells count="8">
    <mergeCell ref="A359:B359"/>
    <mergeCell ref="A368:B368"/>
    <mergeCell ref="A340:B340"/>
    <mergeCell ref="A283:B283"/>
    <mergeCell ref="A297:B297"/>
    <mergeCell ref="A342:B342"/>
    <mergeCell ref="A350:B350"/>
    <mergeCell ref="A354:B354"/>
  </mergeCells>
  <conditionalFormatting sqref="B60 B90 B71:B88 B92:B121">
    <cfRule type="expression" dxfId="174" priority="176" stopIfTrue="1">
      <formula>#REF!="O"</formula>
    </cfRule>
    <cfRule type="expression" dxfId="173" priority="177" stopIfTrue="1">
      <formula>#REF!="S"</formula>
    </cfRule>
  </conditionalFormatting>
  <conditionalFormatting sqref="B60 B90 B71:B88 B92:B121">
    <cfRule type="expression" dxfId="172" priority="178">
      <formula>#REF!="O"</formula>
    </cfRule>
    <cfRule type="expression" dxfId="171" priority="179">
      <formula>#REF!="S"</formula>
    </cfRule>
    <cfRule type="expression" dxfId="170" priority="180">
      <formula>#REF!="G"</formula>
    </cfRule>
  </conditionalFormatting>
  <conditionalFormatting sqref="B89">
    <cfRule type="expression" dxfId="169" priority="161" stopIfTrue="1">
      <formula>#REF!="O"</formula>
    </cfRule>
    <cfRule type="expression" dxfId="168" priority="162" stopIfTrue="1">
      <formula>#REF!="S"</formula>
    </cfRule>
  </conditionalFormatting>
  <conditionalFormatting sqref="B89">
    <cfRule type="expression" dxfId="167" priority="163">
      <formula>#REF!="O"</formula>
    </cfRule>
    <cfRule type="expression" dxfId="166" priority="164">
      <formula>#REF!="S"</formula>
    </cfRule>
    <cfRule type="expression" dxfId="165" priority="165">
      <formula>#REF!="G"</formula>
    </cfRule>
  </conditionalFormatting>
  <conditionalFormatting sqref="B91">
    <cfRule type="expression" dxfId="164" priority="156" stopIfTrue="1">
      <formula>#REF!="O"</formula>
    </cfRule>
    <cfRule type="expression" dxfId="163" priority="157" stopIfTrue="1">
      <formula>#REF!="S"</formula>
    </cfRule>
  </conditionalFormatting>
  <conditionalFormatting sqref="B91">
    <cfRule type="expression" dxfId="162" priority="158">
      <formula>#REF!="O"</formula>
    </cfRule>
    <cfRule type="expression" dxfId="161" priority="159">
      <formula>#REF!="S"</formula>
    </cfRule>
    <cfRule type="expression" dxfId="160" priority="160">
      <formula>#REF!="G"</formula>
    </cfRule>
  </conditionalFormatting>
  <conditionalFormatting sqref="B61:B63">
    <cfRule type="expression" dxfId="159" priority="126" stopIfTrue="1">
      <formula>#REF!="O"</formula>
    </cfRule>
    <cfRule type="expression" dxfId="158" priority="127" stopIfTrue="1">
      <formula>#REF!="S"</formula>
    </cfRule>
  </conditionalFormatting>
  <conditionalFormatting sqref="B61:B63">
    <cfRule type="expression" dxfId="157" priority="128">
      <formula>#REF!="O"</formula>
    </cfRule>
    <cfRule type="expression" dxfId="156" priority="129">
      <formula>#REF!="S"</formula>
    </cfRule>
    <cfRule type="expression" dxfId="155" priority="130">
      <formula>#REF!="G"</formula>
    </cfRule>
  </conditionalFormatting>
  <conditionalFormatting sqref="B67:B70">
    <cfRule type="expression" dxfId="154" priority="116" stopIfTrue="1">
      <formula>#REF!="O"</formula>
    </cfRule>
    <cfRule type="expression" dxfId="153" priority="117" stopIfTrue="1">
      <formula>#REF!="S"</formula>
    </cfRule>
  </conditionalFormatting>
  <conditionalFormatting sqref="B64:B66">
    <cfRule type="expression" dxfId="152" priority="121" stopIfTrue="1">
      <formula>#REF!="O"</formula>
    </cfRule>
    <cfRule type="expression" dxfId="151" priority="122" stopIfTrue="1">
      <formula>#REF!="S"</formula>
    </cfRule>
  </conditionalFormatting>
  <conditionalFormatting sqref="B64:B66">
    <cfRule type="expression" dxfId="150" priority="123">
      <formula>#REF!="O"</formula>
    </cfRule>
    <cfRule type="expression" dxfId="149" priority="124">
      <formula>#REF!="S"</formula>
    </cfRule>
    <cfRule type="expression" dxfId="148" priority="125">
      <formula>#REF!="G"</formula>
    </cfRule>
  </conditionalFormatting>
  <conditionalFormatting sqref="B67:B70">
    <cfRule type="expression" dxfId="147" priority="118">
      <formula>#REF!="O"</formula>
    </cfRule>
    <cfRule type="expression" dxfId="146" priority="119">
      <formula>#REF!="S"</formula>
    </cfRule>
    <cfRule type="expression" dxfId="145" priority="120">
      <formula>#REF!="G"</formula>
    </cfRule>
  </conditionalFormatting>
  <conditionalFormatting sqref="B45:B47">
    <cfRule type="expression" dxfId="144" priority="46" stopIfTrue="1">
      <formula>#REF!="O"</formula>
    </cfRule>
    <cfRule type="expression" dxfId="143" priority="47" stopIfTrue="1">
      <formula>#REF!="S"</formula>
    </cfRule>
  </conditionalFormatting>
  <conditionalFormatting sqref="B43:B44 B48:B57 B59">
    <cfRule type="expression" dxfId="142" priority="56" stopIfTrue="1">
      <formula>#REF!="O"</formula>
    </cfRule>
    <cfRule type="expression" dxfId="141" priority="57" stopIfTrue="1">
      <formula>#REF!="S"</formula>
    </cfRule>
  </conditionalFormatting>
  <conditionalFormatting sqref="B43:B44 B48:B57 B59">
    <cfRule type="expression" dxfId="140" priority="58">
      <formula>#REF!="O"</formula>
    </cfRule>
    <cfRule type="expression" dxfId="139" priority="59">
      <formula>#REF!="S"</formula>
    </cfRule>
    <cfRule type="expression" dxfId="138" priority="60">
      <formula>#REF!="G"</formula>
    </cfRule>
  </conditionalFormatting>
  <conditionalFormatting sqref="B58">
    <cfRule type="expression" dxfId="137" priority="51" stopIfTrue="1">
      <formula>#REF!="O"</formula>
    </cfRule>
    <cfRule type="expression" dxfId="136" priority="52" stopIfTrue="1">
      <formula>#REF!="S"</formula>
    </cfRule>
  </conditionalFormatting>
  <conditionalFormatting sqref="B58">
    <cfRule type="expression" dxfId="135" priority="53">
      <formula>#REF!="O"</formula>
    </cfRule>
    <cfRule type="expression" dxfId="134" priority="54">
      <formula>#REF!="S"</formula>
    </cfRule>
    <cfRule type="expression" dxfId="133" priority="55">
      <formula>#REF!="G"</formula>
    </cfRule>
  </conditionalFormatting>
  <conditionalFormatting sqref="B45:B47">
    <cfRule type="expression" dxfId="132" priority="48">
      <formula>#REF!="O"</formula>
    </cfRule>
    <cfRule type="expression" dxfId="131" priority="49">
      <formula>#REF!="S"</formula>
    </cfRule>
    <cfRule type="expression" dxfId="130" priority="50">
      <formula>#REF!="G"</formula>
    </cfRule>
  </conditionalFormatting>
  <conditionalFormatting sqref="B201:B203">
    <cfRule type="expression" dxfId="129" priority="26" stopIfTrue="1">
      <formula>#REF!="O"</formula>
    </cfRule>
    <cfRule type="expression" dxfId="128" priority="27" stopIfTrue="1">
      <formula>#REF!="S"</formula>
    </cfRule>
  </conditionalFormatting>
  <conditionalFormatting sqref="B201:B203">
    <cfRule type="expression" dxfId="127" priority="28">
      <formula>#REF!="O"</formula>
    </cfRule>
    <cfRule type="expression" dxfId="126" priority="29">
      <formula>#REF!="S"</formula>
    </cfRule>
    <cfRule type="expression" dxfId="125" priority="30">
      <formula>#REF!="G"</formula>
    </cfRule>
  </conditionalFormatting>
  <conditionalFormatting sqref="B204:B206">
    <cfRule type="expression" dxfId="124" priority="21" stopIfTrue="1">
      <formula>#REF!="O"</formula>
    </cfRule>
    <cfRule type="expression" dxfId="123" priority="22" stopIfTrue="1">
      <formula>#REF!="S"</formula>
    </cfRule>
  </conditionalFormatting>
  <conditionalFormatting sqref="B204:B206">
    <cfRule type="expression" dxfId="122" priority="23">
      <formula>#REF!="O"</formula>
    </cfRule>
    <cfRule type="expression" dxfId="121" priority="24">
      <formula>#REF!="S"</formula>
    </cfRule>
    <cfRule type="expression" dxfId="120" priority="25">
      <formula>#REF!="G"</formula>
    </cfRule>
  </conditionalFormatting>
  <conditionalFormatting sqref="B207:B210">
    <cfRule type="expression" dxfId="119" priority="16" stopIfTrue="1">
      <formula>#REF!="O"</formula>
    </cfRule>
    <cfRule type="expression" dxfId="118" priority="17" stopIfTrue="1">
      <formula>#REF!="S"</formula>
    </cfRule>
  </conditionalFormatting>
  <conditionalFormatting sqref="B207:B210">
    <cfRule type="expression" dxfId="117" priority="18">
      <formula>#REF!="O"</formula>
    </cfRule>
    <cfRule type="expression" dxfId="116" priority="19">
      <formula>#REF!="S"</formula>
    </cfRule>
    <cfRule type="expression" dxfId="115" priority="20">
      <formula>#REF!="G"</formula>
    </cfRule>
  </conditionalFormatting>
  <conditionalFormatting sqref="B200 B230 B211:B228 B232:B261">
    <cfRule type="expression" dxfId="114" priority="41" stopIfTrue="1">
      <formula>#REF!="O"</formula>
    </cfRule>
    <cfRule type="expression" dxfId="113" priority="42" stopIfTrue="1">
      <formula>#REF!="S"</formula>
    </cfRule>
  </conditionalFormatting>
  <conditionalFormatting sqref="B200 B230 B211:B228 B232:B261">
    <cfRule type="expression" dxfId="112" priority="43">
      <formula>#REF!="O"</formula>
    </cfRule>
    <cfRule type="expression" dxfId="111" priority="44">
      <formula>#REF!="S"</formula>
    </cfRule>
    <cfRule type="expression" dxfId="110" priority="45">
      <formula>#REF!="G"</formula>
    </cfRule>
  </conditionalFormatting>
  <conditionalFormatting sqref="B229">
    <cfRule type="expression" dxfId="109" priority="36" stopIfTrue="1">
      <formula>#REF!="O"</formula>
    </cfRule>
    <cfRule type="expression" dxfId="108" priority="37" stopIfTrue="1">
      <formula>#REF!="S"</formula>
    </cfRule>
  </conditionalFormatting>
  <conditionalFormatting sqref="B229">
    <cfRule type="expression" dxfId="107" priority="38">
      <formula>#REF!="O"</formula>
    </cfRule>
    <cfRule type="expression" dxfId="106" priority="39">
      <formula>#REF!="S"</formula>
    </cfRule>
    <cfRule type="expression" dxfId="105" priority="40">
      <formula>#REF!="G"</formula>
    </cfRule>
  </conditionalFormatting>
  <conditionalFormatting sqref="B231">
    <cfRule type="expression" dxfId="104" priority="31" stopIfTrue="1">
      <formula>#REF!="O"</formula>
    </cfRule>
    <cfRule type="expression" dxfId="103" priority="32" stopIfTrue="1">
      <formula>#REF!="S"</formula>
    </cfRule>
  </conditionalFormatting>
  <conditionalFormatting sqref="B231">
    <cfRule type="expression" dxfId="102" priority="33">
      <formula>#REF!="O"</formula>
    </cfRule>
    <cfRule type="expression" dxfId="101" priority="34">
      <formula>#REF!="S"</formula>
    </cfRule>
    <cfRule type="expression" dxfId="100" priority="35">
      <formula>#REF!="G"</formula>
    </cfRule>
  </conditionalFormatting>
  <conditionalFormatting sqref="B183:B184 B188:B197 B199">
    <cfRule type="expression" dxfId="99" priority="11" stopIfTrue="1">
      <formula>#REF!="O"</formula>
    </cfRule>
    <cfRule type="expression" dxfId="98" priority="12" stopIfTrue="1">
      <formula>#REF!="S"</formula>
    </cfRule>
  </conditionalFormatting>
  <conditionalFormatting sqref="B183:B184 B188:B197 B199">
    <cfRule type="expression" dxfId="97" priority="13">
      <formula>#REF!="O"</formula>
    </cfRule>
    <cfRule type="expression" dxfId="96" priority="14">
      <formula>#REF!="S"</formula>
    </cfRule>
    <cfRule type="expression" dxfId="95" priority="15">
      <formula>#REF!="G"</formula>
    </cfRule>
  </conditionalFormatting>
  <conditionalFormatting sqref="B198">
    <cfRule type="expression" dxfId="94" priority="6" stopIfTrue="1">
      <formula>#REF!="O"</formula>
    </cfRule>
    <cfRule type="expression" dxfId="93" priority="7" stopIfTrue="1">
      <formula>#REF!="S"</formula>
    </cfRule>
  </conditionalFormatting>
  <conditionalFormatting sqref="B198">
    <cfRule type="expression" dxfId="92" priority="8">
      <formula>#REF!="O"</formula>
    </cfRule>
    <cfRule type="expression" dxfId="91" priority="9">
      <formula>#REF!="S"</formula>
    </cfRule>
    <cfRule type="expression" dxfId="90" priority="10">
      <formula>#REF!="G"</formula>
    </cfRule>
  </conditionalFormatting>
  <conditionalFormatting sqref="B185:B187">
    <cfRule type="expression" dxfId="89" priority="1" stopIfTrue="1">
      <formula>#REF!="O"</formula>
    </cfRule>
    <cfRule type="expression" dxfId="88" priority="2" stopIfTrue="1">
      <formula>#REF!="S"</formula>
    </cfRule>
  </conditionalFormatting>
  <conditionalFormatting sqref="B185:B187">
    <cfRule type="expression" dxfId="87" priority="3">
      <formula>#REF!="O"</formula>
    </cfRule>
    <cfRule type="expression" dxfId="86" priority="4">
      <formula>#REF!="S"</formula>
    </cfRule>
    <cfRule type="expression" dxfId="85" priority="5">
      <formula>#REF!="G"</formula>
    </cfRule>
  </conditionalFormatting>
  <pageMargins left="0.7" right="0.7" top="0.75" bottom="0.75" header="0.3" footer="0.3"/>
  <pageSetup scale="10" fitToHeight="0" orientation="landscape" r:id="rId1"/>
  <headerFooter>
    <oddHeader>&amp;LPER&amp;C&amp;"Arial,Bold"&amp;14&amp;UComprehensive Strategic Finances for Department of Natural Resources&amp;"Arial,Regular"&amp;10&amp;U
&amp;12(as of August 30, 2017)</oddHeader>
    <oddFooter>&amp;RThe contents of this chart are considered sworn testimony from the Agency Director.</oddFooter>
  </headerFooter>
  <rowBreaks count="6" manualBreakCount="6">
    <brk id="31" max="16383" man="1"/>
    <brk id="128" max="16383" man="1"/>
    <brk id="142" max="16383" man="1"/>
    <brk id="171" max="16383" man="1"/>
    <brk id="268" max="16383" man="1"/>
    <brk id="282" max="16383" man="1"/>
  </rowBreaks>
  <ignoredErrors>
    <ignoredError sqref="B18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00"/>
  <sheetViews>
    <sheetView topLeftCell="A82" zoomScaleNormal="100" workbookViewId="0">
      <selection activeCell="I10" sqref="I10"/>
    </sheetView>
  </sheetViews>
  <sheetFormatPr defaultColWidth="9.140625" defaultRowHeight="15" x14ac:dyDescent="0.2"/>
  <cols>
    <col min="1" max="1" width="52.28515625" style="108" customWidth="1"/>
    <col min="2" max="2" width="35.140625" style="108" customWidth="1"/>
    <col min="3" max="3" width="11.28515625" style="275" customWidth="1"/>
    <col min="4" max="4" width="15.28515625" style="108" customWidth="1"/>
    <col min="5" max="5" width="15.28515625" style="298" customWidth="1"/>
    <col min="6" max="6" width="11.7109375" style="275" customWidth="1"/>
    <col min="7" max="7" width="14.42578125" style="108" customWidth="1"/>
    <col min="8" max="8" width="14.5703125" style="275" customWidth="1"/>
    <col min="9" max="9" width="25.5703125" style="108" customWidth="1"/>
    <col min="10" max="10" width="16" style="108" customWidth="1"/>
    <col min="11" max="11" width="21.7109375" style="108" customWidth="1"/>
    <col min="12" max="12" width="13.85546875" style="139" customWidth="1"/>
    <col min="13" max="13" width="22.42578125" style="108" customWidth="1"/>
    <col min="14" max="16384" width="9.140625" style="108"/>
  </cols>
  <sheetData>
    <row r="2" spans="1:13" x14ac:dyDescent="0.2">
      <c r="A2" s="106" t="s">
        <v>0</v>
      </c>
      <c r="B2" s="107" t="s">
        <v>140</v>
      </c>
      <c r="F2" s="309"/>
    </row>
    <row r="3" spans="1:13" x14ac:dyDescent="0.2">
      <c r="A3" s="106" t="s">
        <v>1</v>
      </c>
      <c r="B3" s="110">
        <v>42977</v>
      </c>
      <c r="F3" s="278"/>
    </row>
    <row r="4" spans="1:13" x14ac:dyDescent="0.2">
      <c r="A4" s="109"/>
      <c r="G4" s="112"/>
      <c r="H4" s="315"/>
    </row>
    <row r="5" spans="1:13" ht="33" customHeight="1" x14ac:dyDescent="0.2">
      <c r="A5" s="411" t="s">
        <v>812</v>
      </c>
      <c r="B5" s="412"/>
      <c r="C5" s="413"/>
      <c r="D5" s="413"/>
      <c r="E5" s="413"/>
      <c r="F5" s="413"/>
      <c r="G5" s="413"/>
      <c r="H5" s="413"/>
      <c r="I5" s="414"/>
    </row>
    <row r="6" spans="1:13" ht="30" customHeight="1" x14ac:dyDescent="0.2">
      <c r="A6" s="411" t="s">
        <v>813</v>
      </c>
      <c r="B6" s="412"/>
      <c r="C6" s="413"/>
      <c r="D6" s="413"/>
      <c r="E6" s="413"/>
      <c r="F6" s="413"/>
      <c r="G6" s="413"/>
      <c r="H6" s="413"/>
      <c r="I6" s="414"/>
      <c r="J6" s="113"/>
      <c r="K6" s="113"/>
      <c r="L6" s="140"/>
    </row>
    <row r="7" spans="1:13" ht="15.75" thickBot="1" x14ac:dyDescent="0.25">
      <c r="A7" s="111"/>
      <c r="B7" s="111"/>
      <c r="C7" s="276"/>
      <c r="D7" s="114"/>
      <c r="E7" s="299"/>
      <c r="F7" s="276"/>
      <c r="G7" s="113"/>
      <c r="H7" s="276"/>
      <c r="I7" s="114"/>
      <c r="J7" s="115"/>
      <c r="K7" s="114"/>
      <c r="L7" s="115"/>
    </row>
    <row r="8" spans="1:13" ht="15.75" thickBot="1" x14ac:dyDescent="0.25">
      <c r="A8" s="111"/>
      <c r="B8" s="111"/>
      <c r="C8" s="423" t="s">
        <v>25</v>
      </c>
      <c r="D8" s="426"/>
      <c r="E8" s="428"/>
      <c r="F8" s="423" t="s">
        <v>33</v>
      </c>
      <c r="G8" s="426"/>
      <c r="H8" s="427"/>
      <c r="J8" s="113"/>
      <c r="K8" s="111"/>
      <c r="M8" s="114"/>
    </row>
    <row r="9" spans="1:13" x14ac:dyDescent="0.2">
      <c r="A9" s="114"/>
      <c r="C9" s="435" t="s">
        <v>1155</v>
      </c>
      <c r="D9" s="436"/>
      <c r="E9" s="203" t="s">
        <v>1168</v>
      </c>
      <c r="F9" s="435" t="s">
        <v>1155</v>
      </c>
      <c r="G9" s="436"/>
      <c r="H9" s="204" t="s">
        <v>1169</v>
      </c>
      <c r="J9" s="113"/>
      <c r="K9" s="111"/>
      <c r="M9" s="114"/>
    </row>
    <row r="10" spans="1:13" ht="30" x14ac:dyDescent="0.2">
      <c r="A10" s="114"/>
      <c r="C10" s="422" t="s">
        <v>1156</v>
      </c>
      <c r="D10" s="418"/>
      <c r="E10" s="204" t="s">
        <v>1160</v>
      </c>
      <c r="F10" s="422" t="s">
        <v>1156</v>
      </c>
      <c r="G10" s="418"/>
      <c r="H10" s="204" t="s">
        <v>1161</v>
      </c>
      <c r="J10" s="113"/>
      <c r="K10" s="111"/>
      <c r="M10" s="114"/>
    </row>
    <row r="11" spans="1:13" x14ac:dyDescent="0.2">
      <c r="A11" s="113"/>
      <c r="C11" s="422" t="s">
        <v>1157</v>
      </c>
      <c r="D11" s="418"/>
      <c r="E11" s="300">
        <f>ComprehensiveStrategicFinances!C30</f>
        <v>129390265.94000001</v>
      </c>
      <c r="F11" s="422" t="s">
        <v>1157</v>
      </c>
      <c r="G11" s="418"/>
      <c r="H11" s="316">
        <f>ComprehensiveStrategicFinances!C170</f>
        <v>123781640.61</v>
      </c>
    </row>
    <row r="12" spans="1:13" ht="15.75" thickBot="1" x14ac:dyDescent="0.25">
      <c r="A12" s="113"/>
      <c r="C12" s="420" t="s">
        <v>162</v>
      </c>
      <c r="D12" s="421"/>
      <c r="E12" s="301">
        <f>ComprehensiveStrategicFinances!C137</f>
        <v>21392198.020000003</v>
      </c>
      <c r="F12" s="420" t="s">
        <v>162</v>
      </c>
      <c r="G12" s="421"/>
      <c r="H12" s="317">
        <f>ComprehensiveStrategicFinances!C277</f>
        <v>10011300.099999996</v>
      </c>
    </row>
    <row r="13" spans="1:13" x14ac:dyDescent="0.2">
      <c r="C13" s="277"/>
      <c r="E13" s="302"/>
      <c r="F13" s="277"/>
      <c r="H13" s="318"/>
      <c r="I13" s="116"/>
      <c r="J13" s="116"/>
      <c r="K13" s="116"/>
      <c r="L13" s="141"/>
      <c r="M13" s="116"/>
    </row>
    <row r="14" spans="1:13" ht="15.75" thickBot="1" x14ac:dyDescent="0.25">
      <c r="A14" s="113"/>
      <c r="C14" s="278"/>
      <c r="D14" s="111"/>
      <c r="E14" s="302"/>
      <c r="F14" s="278"/>
      <c r="G14" s="111"/>
      <c r="H14" s="278"/>
    </row>
    <row r="15" spans="1:13" ht="15.75" thickBot="1" x14ac:dyDescent="0.25">
      <c r="A15" s="113"/>
      <c r="C15" s="423" t="s">
        <v>25</v>
      </c>
      <c r="D15" s="424"/>
      <c r="E15" s="425"/>
      <c r="F15" s="423" t="s">
        <v>33</v>
      </c>
      <c r="G15" s="424"/>
      <c r="H15" s="425"/>
    </row>
    <row r="16" spans="1:13" ht="90" x14ac:dyDescent="0.2">
      <c r="A16" s="118" t="s">
        <v>1167</v>
      </c>
      <c r="B16" s="119" t="s">
        <v>1166</v>
      </c>
      <c r="C16" s="279" t="s">
        <v>1158</v>
      </c>
      <c r="D16" s="333" t="s">
        <v>28</v>
      </c>
      <c r="E16" s="319" t="s">
        <v>1016</v>
      </c>
      <c r="F16" s="279" t="s">
        <v>1159</v>
      </c>
      <c r="G16" s="310" t="s">
        <v>27</v>
      </c>
      <c r="H16" s="320" t="s">
        <v>1016</v>
      </c>
      <c r="I16" s="120" t="s">
        <v>32</v>
      </c>
      <c r="J16" s="121" t="s">
        <v>26</v>
      </c>
      <c r="K16" s="122" t="s">
        <v>1163</v>
      </c>
      <c r="L16" s="142" t="s">
        <v>1164</v>
      </c>
      <c r="M16" s="118" t="s">
        <v>1165</v>
      </c>
    </row>
    <row r="17" spans="1:13" x14ac:dyDescent="0.2">
      <c r="A17" s="434" t="s">
        <v>141</v>
      </c>
      <c r="B17" s="430"/>
      <c r="C17" s="430"/>
      <c r="D17" s="430"/>
      <c r="E17" s="430"/>
      <c r="F17" s="430"/>
      <c r="G17" s="430"/>
      <c r="H17" s="430"/>
      <c r="I17" s="430"/>
      <c r="J17" s="430"/>
      <c r="K17" s="430"/>
      <c r="L17" s="430"/>
      <c r="M17" s="431"/>
    </row>
    <row r="18" spans="1:13" x14ac:dyDescent="0.2">
      <c r="A18" s="419" t="s">
        <v>1162</v>
      </c>
      <c r="B18" s="416"/>
      <c r="C18" s="416"/>
      <c r="D18" s="416"/>
      <c r="E18" s="416"/>
      <c r="F18" s="416"/>
      <c r="G18" s="416"/>
      <c r="H18" s="417"/>
      <c r="I18" s="417"/>
      <c r="J18" s="417"/>
      <c r="K18" s="417"/>
      <c r="L18" s="417"/>
      <c r="M18" s="418"/>
    </row>
    <row r="19" spans="1:13" ht="90" x14ac:dyDescent="0.2">
      <c r="A19" s="224" t="s">
        <v>814</v>
      </c>
      <c r="B19" s="250" t="s">
        <v>374</v>
      </c>
      <c r="C19" s="280" t="s">
        <v>762</v>
      </c>
      <c r="D19" s="251">
        <f>ComprehensiveStrategicFinances!$C$45</f>
        <v>1725644.86</v>
      </c>
      <c r="E19" s="303">
        <f>D19/$E$11</f>
        <v>1.3336744054612304E-2</v>
      </c>
      <c r="F19" s="280" t="s">
        <v>762</v>
      </c>
      <c r="G19" s="252">
        <f>ComprehensiveStrategicFinances!$C$185</f>
        <v>1663833.04</v>
      </c>
      <c r="H19" s="321">
        <f>G19/$H$11</f>
        <v>1.3441678683531548E-2</v>
      </c>
      <c r="I19" s="253" t="s">
        <v>666</v>
      </c>
      <c r="J19" s="254" t="s">
        <v>375</v>
      </c>
      <c r="K19" s="254" t="s">
        <v>697</v>
      </c>
      <c r="L19" s="255" t="s">
        <v>398</v>
      </c>
      <c r="M19" s="254" t="s">
        <v>667</v>
      </c>
    </row>
    <row r="20" spans="1:13" ht="75" x14ac:dyDescent="0.2">
      <c r="A20" s="135" t="s">
        <v>376</v>
      </c>
      <c r="B20" s="123" t="s">
        <v>660</v>
      </c>
      <c r="C20" s="281" t="s">
        <v>661</v>
      </c>
      <c r="D20" s="196">
        <f>ComprehensiveStrategicFinances!$C$46</f>
        <v>1343219.13</v>
      </c>
      <c r="E20" s="304">
        <f>D20/$E$11</f>
        <v>1.0381145136705017E-2</v>
      </c>
      <c r="F20" s="281" t="s">
        <v>704</v>
      </c>
      <c r="G20" s="198">
        <f>ComprehensiveStrategicFinances!$C$186</f>
        <v>1053564.71</v>
      </c>
      <c r="H20" s="321">
        <f>G20/$H$11</f>
        <v>8.5114779930852303E-3</v>
      </c>
      <c r="I20" s="128" t="s">
        <v>668</v>
      </c>
      <c r="J20" s="124" t="s">
        <v>377</v>
      </c>
      <c r="K20" s="124" t="s">
        <v>697</v>
      </c>
      <c r="L20" s="143" t="s">
        <v>398</v>
      </c>
      <c r="M20" s="124" t="s">
        <v>669</v>
      </c>
    </row>
    <row r="21" spans="1:13" ht="60" x14ac:dyDescent="0.2">
      <c r="A21" s="240" t="s">
        <v>378</v>
      </c>
      <c r="B21" s="241" t="s">
        <v>775</v>
      </c>
      <c r="C21" s="282" t="s">
        <v>522</v>
      </c>
      <c r="D21" s="242">
        <f>ComprehensiveStrategicFinances!$C$47</f>
        <v>109911.26999999999</v>
      </c>
      <c r="E21" s="305">
        <f>D21/$E$11</f>
        <v>8.4945547643411833E-4</v>
      </c>
      <c r="F21" s="282" t="s">
        <v>522</v>
      </c>
      <c r="G21" s="246">
        <f>ComprehensiveStrategicFinances!$C$187</f>
        <v>105154.04</v>
      </c>
      <c r="H21" s="321">
        <f>G21/$H$11</f>
        <v>8.4951241138667599E-4</v>
      </c>
      <c r="I21" s="243" t="s">
        <v>670</v>
      </c>
      <c r="J21" s="244" t="s">
        <v>671</v>
      </c>
      <c r="K21" s="244" t="s">
        <v>697</v>
      </c>
      <c r="L21" s="245" t="s">
        <v>398</v>
      </c>
      <c r="M21" s="244" t="s">
        <v>179</v>
      </c>
    </row>
    <row r="22" spans="1:13" x14ac:dyDescent="0.2">
      <c r="A22" s="415" t="s">
        <v>305</v>
      </c>
      <c r="B22" s="416"/>
      <c r="C22" s="416"/>
      <c r="D22" s="416"/>
      <c r="E22" s="416"/>
      <c r="F22" s="416"/>
      <c r="G22" s="416"/>
      <c r="H22" s="417"/>
      <c r="I22" s="417"/>
      <c r="J22" s="417"/>
      <c r="K22" s="417"/>
      <c r="L22" s="417"/>
      <c r="M22" s="418"/>
    </row>
    <row r="23" spans="1:13" ht="105" x14ac:dyDescent="0.2">
      <c r="A23" s="224" t="s">
        <v>306</v>
      </c>
      <c r="B23" s="250" t="s">
        <v>380</v>
      </c>
      <c r="C23" s="280" t="s">
        <v>662</v>
      </c>
      <c r="D23" s="251">
        <f>ComprehensiveStrategicFinances!$C$49</f>
        <v>305497.63999999996</v>
      </c>
      <c r="E23" s="303">
        <f>D23/$E$11</f>
        <v>2.361055816529995E-3</v>
      </c>
      <c r="F23" s="280" t="s">
        <v>662</v>
      </c>
      <c r="G23" s="252">
        <f>ComprehensiveStrategicFinances!$C$189</f>
        <v>292257.64999999997</v>
      </c>
      <c r="H23" s="321">
        <f>G23/$E$11</f>
        <v>2.2587298037977889E-3</v>
      </c>
      <c r="I23" s="253" t="s">
        <v>672</v>
      </c>
      <c r="J23" s="254" t="s">
        <v>381</v>
      </c>
      <c r="K23" s="254" t="s">
        <v>700</v>
      </c>
      <c r="L23" s="255" t="s">
        <v>398</v>
      </c>
      <c r="M23" s="254" t="s">
        <v>673</v>
      </c>
    </row>
    <row r="24" spans="1:13" ht="105" x14ac:dyDescent="0.2">
      <c r="A24" s="240" t="s">
        <v>307</v>
      </c>
      <c r="B24" s="241" t="s">
        <v>382</v>
      </c>
      <c r="C24" s="282" t="s">
        <v>663</v>
      </c>
      <c r="D24" s="242">
        <f>ComprehensiveStrategicFinances!$C$50</f>
        <v>1747965.26</v>
      </c>
      <c r="E24" s="305">
        <f>D24/$E$11</f>
        <v>1.3509248530415378E-2</v>
      </c>
      <c r="F24" s="282" t="s">
        <v>663</v>
      </c>
      <c r="G24" s="246">
        <f>ComprehensiveStrategicFinances!$C$190</f>
        <v>2012975.49</v>
      </c>
      <c r="H24" s="321">
        <f>G24/$E$11</f>
        <v>1.5557395105234914E-2</v>
      </c>
      <c r="I24" s="243" t="s">
        <v>674</v>
      </c>
      <c r="J24" s="244" t="s">
        <v>383</v>
      </c>
      <c r="K24" s="244" t="s">
        <v>700</v>
      </c>
      <c r="L24" s="245" t="s">
        <v>398</v>
      </c>
      <c r="M24" s="244" t="s">
        <v>675</v>
      </c>
    </row>
    <row r="25" spans="1:13" x14ac:dyDescent="0.2">
      <c r="A25" s="415" t="s">
        <v>308</v>
      </c>
      <c r="B25" s="416"/>
      <c r="C25" s="416"/>
      <c r="D25" s="416"/>
      <c r="E25" s="416"/>
      <c r="F25" s="416"/>
      <c r="G25" s="416"/>
      <c r="H25" s="417"/>
      <c r="I25" s="417"/>
      <c r="J25" s="417"/>
      <c r="K25" s="417"/>
      <c r="L25" s="417"/>
      <c r="M25" s="418"/>
    </row>
    <row r="26" spans="1:13" ht="150" x14ac:dyDescent="0.2">
      <c r="A26" s="135" t="s">
        <v>309</v>
      </c>
      <c r="B26" s="123" t="s">
        <v>384</v>
      </c>
      <c r="C26" s="281" t="s">
        <v>523</v>
      </c>
      <c r="D26" s="196">
        <f>ComprehensiveStrategicFinances!$C$52</f>
        <v>700283.63</v>
      </c>
      <c r="E26" s="304">
        <f>D26/$E$11</f>
        <v>5.4121817040296586E-3</v>
      </c>
      <c r="F26" s="281" t="s">
        <v>523</v>
      </c>
      <c r="G26" s="198">
        <f>ComprehensiveStrategicFinances!$C$192</f>
        <v>698380.24</v>
      </c>
      <c r="H26" s="321">
        <f>G26/$E$11</f>
        <v>5.3974712465916733E-3</v>
      </c>
      <c r="I26" s="128" t="s">
        <v>676</v>
      </c>
      <c r="J26" s="124" t="s">
        <v>385</v>
      </c>
      <c r="K26" s="124" t="s">
        <v>697</v>
      </c>
      <c r="L26" s="143" t="s">
        <v>398</v>
      </c>
      <c r="M26" s="124" t="s">
        <v>677</v>
      </c>
    </row>
    <row r="27" spans="1:13" x14ac:dyDescent="0.2">
      <c r="A27" s="415" t="s">
        <v>310</v>
      </c>
      <c r="B27" s="416"/>
      <c r="C27" s="416"/>
      <c r="D27" s="416"/>
      <c r="E27" s="416"/>
      <c r="F27" s="416"/>
      <c r="G27" s="416"/>
      <c r="H27" s="417"/>
      <c r="I27" s="417"/>
      <c r="J27" s="417"/>
      <c r="K27" s="417"/>
      <c r="L27" s="417"/>
      <c r="M27" s="418"/>
    </row>
    <row r="28" spans="1:13" ht="120" x14ac:dyDescent="0.2">
      <c r="A28" s="224" t="s">
        <v>473</v>
      </c>
      <c r="B28" s="250" t="s">
        <v>386</v>
      </c>
      <c r="C28" s="280" t="s">
        <v>664</v>
      </c>
      <c r="D28" s="251">
        <f>ComprehensiveStrategicFinances!C54</f>
        <v>799732.76</v>
      </c>
      <c r="E28" s="303">
        <f>D28/$E$11</f>
        <v>6.1807799388158514E-3</v>
      </c>
      <c r="F28" s="280" t="s">
        <v>524</v>
      </c>
      <c r="G28" s="252">
        <f>ComprehensiveStrategicFinances!$C$194</f>
        <v>798625.52</v>
      </c>
      <c r="H28" s="321">
        <f>G28/$E$11</f>
        <v>6.1722225717530657E-3</v>
      </c>
      <c r="I28" s="253" t="s">
        <v>678</v>
      </c>
      <c r="J28" s="254" t="s">
        <v>387</v>
      </c>
      <c r="K28" s="254" t="s">
        <v>699</v>
      </c>
      <c r="L28" s="255" t="s">
        <v>398</v>
      </c>
      <c r="M28" s="254" t="s">
        <v>679</v>
      </c>
    </row>
    <row r="29" spans="1:13" ht="75" x14ac:dyDescent="0.2">
      <c r="A29" s="240" t="s">
        <v>388</v>
      </c>
      <c r="B29" s="241" t="s">
        <v>389</v>
      </c>
      <c r="C29" s="282" t="s">
        <v>525</v>
      </c>
      <c r="D29" s="242">
        <f>ComprehensiveStrategicFinances!$C$55</f>
        <v>331425.59000000003</v>
      </c>
      <c r="E29" s="305">
        <f>D29/$E$11</f>
        <v>2.5614414468680857E-3</v>
      </c>
      <c r="F29" s="282" t="s">
        <v>525</v>
      </c>
      <c r="G29" s="246">
        <f>ComprehensiveStrategicFinances!$C$195</f>
        <v>330318.34999999998</v>
      </c>
      <c r="H29" s="321">
        <f>G29/$E$11</f>
        <v>2.5528840798053E-3</v>
      </c>
      <c r="I29" s="243" t="s">
        <v>680</v>
      </c>
      <c r="J29" s="244" t="s">
        <v>390</v>
      </c>
      <c r="K29" s="244" t="s">
        <v>697</v>
      </c>
      <c r="L29" s="245" t="s">
        <v>398</v>
      </c>
      <c r="M29" s="244" t="s">
        <v>681</v>
      </c>
    </row>
    <row r="30" spans="1:13" x14ac:dyDescent="0.2">
      <c r="A30" s="415" t="s">
        <v>142</v>
      </c>
      <c r="B30" s="416"/>
      <c r="C30" s="416"/>
      <c r="D30" s="416"/>
      <c r="E30" s="416"/>
      <c r="F30" s="416"/>
      <c r="G30" s="416"/>
      <c r="H30" s="417"/>
      <c r="I30" s="417"/>
      <c r="J30" s="417"/>
      <c r="K30" s="417"/>
      <c r="L30" s="417"/>
      <c r="M30" s="418"/>
    </row>
    <row r="31" spans="1:13" ht="120" x14ac:dyDescent="0.2">
      <c r="A31" s="269" t="s">
        <v>311</v>
      </c>
      <c r="B31" s="270" t="s">
        <v>391</v>
      </c>
      <c r="C31" s="283" t="s">
        <v>665</v>
      </c>
      <c r="D31" s="271">
        <f>ComprehensiveStrategicFinances!$C$57</f>
        <v>1481249.86</v>
      </c>
      <c r="E31" s="306">
        <f>D31/$E$11</f>
        <v>1.1447923452656597E-2</v>
      </c>
      <c r="F31" s="283" t="s">
        <v>526</v>
      </c>
      <c r="G31" s="272">
        <f>ComprehensiveStrategicFinances!$C$197</f>
        <v>1566391.85</v>
      </c>
      <c r="H31" s="321">
        <f>G31/$E$11</f>
        <v>1.2105948145483809E-2</v>
      </c>
      <c r="I31" s="322" t="s">
        <v>682</v>
      </c>
      <c r="J31" s="273" t="s">
        <v>392</v>
      </c>
      <c r="K31" s="273" t="s">
        <v>698</v>
      </c>
      <c r="L31" s="274" t="s">
        <v>398</v>
      </c>
      <c r="M31" s="273" t="s">
        <v>677</v>
      </c>
    </row>
    <row r="32" spans="1:13" x14ac:dyDescent="0.2">
      <c r="A32" s="415" t="s">
        <v>818</v>
      </c>
      <c r="B32" s="416"/>
      <c r="C32" s="416"/>
      <c r="D32" s="416"/>
      <c r="E32" s="416"/>
      <c r="F32" s="416"/>
      <c r="G32" s="416"/>
      <c r="H32" s="417"/>
      <c r="I32" s="417"/>
      <c r="J32" s="417"/>
      <c r="K32" s="417"/>
      <c r="L32" s="417"/>
      <c r="M32" s="418"/>
    </row>
    <row r="33" spans="1:13" ht="60" x14ac:dyDescent="0.2">
      <c r="A33" s="224" t="s">
        <v>312</v>
      </c>
      <c r="B33" s="250" t="s">
        <v>393</v>
      </c>
      <c r="C33" s="280" t="s">
        <v>522</v>
      </c>
      <c r="D33" s="251">
        <f>ComprehensiveStrategicFinances!$C$59</f>
        <v>64497.75</v>
      </c>
      <c r="E33" s="303">
        <f>D33/$E$11</f>
        <v>4.9847451453503052E-4</v>
      </c>
      <c r="F33" s="280" t="s">
        <v>527</v>
      </c>
      <c r="G33" s="252">
        <f>ComprehensiveStrategicFinances!$C$199</f>
        <v>56132</v>
      </c>
      <c r="H33" s="321">
        <f>G33/$E$11</f>
        <v>4.3381934175812853E-4</v>
      </c>
      <c r="I33" s="253" t="s">
        <v>683</v>
      </c>
      <c r="J33" s="254" t="s">
        <v>394</v>
      </c>
      <c r="K33" s="254" t="s">
        <v>697</v>
      </c>
      <c r="L33" s="255" t="s">
        <v>398</v>
      </c>
      <c r="M33" s="254" t="s">
        <v>684</v>
      </c>
    </row>
    <row r="34" spans="1:13" x14ac:dyDescent="0.2">
      <c r="A34" s="433" t="s">
        <v>313</v>
      </c>
      <c r="B34" s="430"/>
      <c r="C34" s="430"/>
      <c r="D34" s="430"/>
      <c r="E34" s="430"/>
      <c r="F34" s="430"/>
      <c r="G34" s="430"/>
      <c r="H34" s="430"/>
      <c r="I34" s="430"/>
      <c r="J34" s="430"/>
      <c r="K34" s="430"/>
      <c r="L34" s="430"/>
      <c r="M34" s="431"/>
    </row>
    <row r="35" spans="1:13" x14ac:dyDescent="0.2">
      <c r="A35" s="419" t="s">
        <v>143</v>
      </c>
      <c r="B35" s="416"/>
      <c r="C35" s="416"/>
      <c r="D35" s="416"/>
      <c r="E35" s="416"/>
      <c r="F35" s="416"/>
      <c r="G35" s="416"/>
      <c r="H35" s="417"/>
      <c r="I35" s="417"/>
      <c r="J35" s="417"/>
      <c r="K35" s="417"/>
      <c r="L35" s="417"/>
      <c r="M35" s="418"/>
    </row>
    <row r="36" spans="1:13" ht="120" x14ac:dyDescent="0.2">
      <c r="A36" s="217" t="s">
        <v>144</v>
      </c>
      <c r="B36" s="218" t="s">
        <v>395</v>
      </c>
      <c r="C36" s="284" t="s">
        <v>652</v>
      </c>
      <c r="D36" s="267">
        <f>ComprehensiveStrategicFinances!C62</f>
        <v>3138682</v>
      </c>
      <c r="E36" s="303">
        <f>D36/$E$11</f>
        <v>2.4257481636643739E-2</v>
      </c>
      <c r="F36" s="284" t="s">
        <v>705</v>
      </c>
      <c r="G36" s="268">
        <f>ComprehensiveStrategicFinances!C202</f>
        <v>3938185</v>
      </c>
      <c r="H36" s="321">
        <f>G36/$E$11</f>
        <v>3.0436485862284174E-2</v>
      </c>
      <c r="I36" s="265" t="s">
        <v>396</v>
      </c>
      <c r="J36" s="222" t="s">
        <v>397</v>
      </c>
      <c r="K36" s="222" t="s">
        <v>689</v>
      </c>
      <c r="L36" s="223" t="s">
        <v>398</v>
      </c>
      <c r="M36" s="254" t="s">
        <v>677</v>
      </c>
    </row>
    <row r="37" spans="1:13" ht="90" x14ac:dyDescent="0.2">
      <c r="A37" s="205" t="s">
        <v>314</v>
      </c>
      <c r="B37" s="206" t="s">
        <v>399</v>
      </c>
      <c r="C37" s="285" t="s">
        <v>528</v>
      </c>
      <c r="D37" s="262">
        <f>ComprehensiveStrategicFinances!C63</f>
        <v>1652962</v>
      </c>
      <c r="E37" s="305">
        <f>D37/$E$11</f>
        <v>1.2775010453773241E-2</v>
      </c>
      <c r="F37" s="285" t="s">
        <v>530</v>
      </c>
      <c r="G37" s="263">
        <f>ComprehensiveStrategicFinances!C203</f>
        <v>1751782</v>
      </c>
      <c r="H37" s="321">
        <f>G37/$E$11</f>
        <v>1.3538746421715561E-2</v>
      </c>
      <c r="I37" s="261" t="s">
        <v>400</v>
      </c>
      <c r="J37" s="210" t="s">
        <v>397</v>
      </c>
      <c r="K37" s="210" t="s">
        <v>689</v>
      </c>
      <c r="L37" s="211" t="s">
        <v>398</v>
      </c>
      <c r="M37" s="244" t="s">
        <v>677</v>
      </c>
    </row>
    <row r="38" spans="1:13" x14ac:dyDescent="0.2">
      <c r="A38" s="419" t="s">
        <v>145</v>
      </c>
      <c r="B38" s="416"/>
      <c r="C38" s="416"/>
      <c r="D38" s="416"/>
      <c r="E38" s="416"/>
      <c r="F38" s="416"/>
      <c r="G38" s="416"/>
      <c r="H38" s="417"/>
      <c r="I38" s="417"/>
      <c r="J38" s="417"/>
      <c r="K38" s="417"/>
      <c r="L38" s="417"/>
      <c r="M38" s="418"/>
    </row>
    <row r="39" spans="1:13" ht="90" x14ac:dyDescent="0.2">
      <c r="A39" s="217" t="s">
        <v>474</v>
      </c>
      <c r="B39" s="218" t="s">
        <v>401</v>
      </c>
      <c r="C39" s="284" t="s">
        <v>706</v>
      </c>
      <c r="D39" s="264">
        <f>ComprehensiveStrategicFinances!C65</f>
        <v>612243</v>
      </c>
      <c r="E39" s="303">
        <f>D39/$E$11</f>
        <v>4.731754707760669E-3</v>
      </c>
      <c r="F39" s="284" t="s">
        <v>654</v>
      </c>
      <c r="G39" s="266">
        <f>ComprehensiveStrategicFinances!C205</f>
        <v>810000</v>
      </c>
      <c r="H39" s="321">
        <f>G39/$E$11</f>
        <v>6.2601308847731081E-3</v>
      </c>
      <c r="I39" s="265" t="s">
        <v>402</v>
      </c>
      <c r="J39" s="222" t="s">
        <v>403</v>
      </c>
      <c r="K39" s="222" t="s">
        <v>687</v>
      </c>
      <c r="L39" s="223" t="s">
        <v>398</v>
      </c>
      <c r="M39" s="254" t="s">
        <v>677</v>
      </c>
    </row>
    <row r="40" spans="1:13" ht="150" x14ac:dyDescent="0.2">
      <c r="A40" s="205" t="s">
        <v>315</v>
      </c>
      <c r="B40" s="206" t="s">
        <v>404</v>
      </c>
      <c r="C40" s="285" t="s">
        <v>529</v>
      </c>
      <c r="D40" s="259">
        <f>ComprehensiveStrategicFinances!C66</f>
        <v>199221</v>
      </c>
      <c r="E40" s="305">
        <f>D40/$E$11</f>
        <v>1.5396907839449177E-3</v>
      </c>
      <c r="F40" s="285" t="s">
        <v>529</v>
      </c>
      <c r="G40" s="260">
        <f>ComprehensiveStrategicFinances!C206</f>
        <v>178172</v>
      </c>
      <c r="H40" s="321">
        <f>G40/$E$11</f>
        <v>1.3770123950639435E-3</v>
      </c>
      <c r="I40" s="261" t="s">
        <v>405</v>
      </c>
      <c r="J40" s="210" t="s">
        <v>406</v>
      </c>
      <c r="K40" s="210" t="s">
        <v>688</v>
      </c>
      <c r="L40" s="211" t="s">
        <v>398</v>
      </c>
      <c r="M40" s="244" t="s">
        <v>677</v>
      </c>
    </row>
    <row r="41" spans="1:13" x14ac:dyDescent="0.2">
      <c r="A41" s="419" t="s">
        <v>316</v>
      </c>
      <c r="B41" s="416"/>
      <c r="C41" s="416"/>
      <c r="D41" s="416"/>
      <c r="E41" s="416"/>
      <c r="F41" s="416"/>
      <c r="G41" s="416"/>
      <c r="H41" s="417"/>
      <c r="I41" s="417"/>
      <c r="J41" s="417"/>
      <c r="K41" s="417"/>
      <c r="L41" s="417"/>
      <c r="M41" s="418"/>
    </row>
    <row r="42" spans="1:13" ht="90" x14ac:dyDescent="0.2">
      <c r="A42" s="217" t="s">
        <v>475</v>
      </c>
      <c r="B42" s="218" t="s">
        <v>407</v>
      </c>
      <c r="C42" s="284" t="s">
        <v>653</v>
      </c>
      <c r="D42" s="264">
        <f>ComprehensiveStrategicFinances!C68</f>
        <v>22104323.43</v>
      </c>
      <c r="E42" s="303">
        <f>D42/$E$11</f>
        <v>0.17083451579155165</v>
      </c>
      <c r="F42" s="284" t="s">
        <v>655</v>
      </c>
      <c r="G42" s="264">
        <f>ComprehensiveStrategicFinances!C208</f>
        <v>23382707.669999998</v>
      </c>
      <c r="H42" s="321">
        <f>G42/$E$11</f>
        <v>0.18071458080813335</v>
      </c>
      <c r="I42" s="265" t="s">
        <v>408</v>
      </c>
      <c r="J42" s="222" t="s">
        <v>403</v>
      </c>
      <c r="K42" s="222" t="s">
        <v>687</v>
      </c>
      <c r="L42" s="223" t="s">
        <v>398</v>
      </c>
      <c r="M42" s="254" t="s">
        <v>677</v>
      </c>
    </row>
    <row r="43" spans="1:13" ht="75" x14ac:dyDescent="0.2">
      <c r="A43" s="136" t="s">
        <v>317</v>
      </c>
      <c r="B43" s="125" t="s">
        <v>409</v>
      </c>
      <c r="C43" s="286" t="s">
        <v>531</v>
      </c>
      <c r="D43" s="197">
        <f>ComprehensiveStrategicFinances!C69</f>
        <v>158897</v>
      </c>
      <c r="E43" s="304">
        <f>D43/$E$11</f>
        <v>1.228044465676287E-3</v>
      </c>
      <c r="F43" s="286" t="s">
        <v>531</v>
      </c>
      <c r="G43" s="197">
        <f>ComprehensiveStrategicFinances!C209</f>
        <v>285363</v>
      </c>
      <c r="H43" s="321">
        <f>G43/$E$11</f>
        <v>2.2054441107055658E-3</v>
      </c>
      <c r="I43" s="126" t="s">
        <v>410</v>
      </c>
      <c r="J43" s="127" t="s">
        <v>411</v>
      </c>
      <c r="K43" s="127" t="s">
        <v>686</v>
      </c>
      <c r="L43" s="144" t="s">
        <v>398</v>
      </c>
      <c r="M43" s="124" t="s">
        <v>677</v>
      </c>
    </row>
    <row r="44" spans="1:13" ht="195" x14ac:dyDescent="0.2">
      <c r="A44" s="136" t="s">
        <v>146</v>
      </c>
      <c r="B44" s="125" t="s">
        <v>412</v>
      </c>
      <c r="C44" s="286" t="s">
        <v>532</v>
      </c>
      <c r="D44" s="197">
        <f>ComprehensiveStrategicFinances!C70</f>
        <v>1354219</v>
      </c>
      <c r="E44" s="304">
        <f>D44/$E$11</f>
        <v>1.0466158255119202E-2</v>
      </c>
      <c r="F44" s="286" t="s">
        <v>532</v>
      </c>
      <c r="G44" s="197">
        <f>ComprehensiveStrategicFinances!C210</f>
        <v>2063317.79</v>
      </c>
      <c r="H44" s="321">
        <f>G44/$E$11</f>
        <v>1.5946468422568881E-2</v>
      </c>
      <c r="I44" s="126" t="s">
        <v>413</v>
      </c>
      <c r="J44" s="127" t="s">
        <v>414</v>
      </c>
      <c r="K44" s="127" t="s">
        <v>685</v>
      </c>
      <c r="L44" s="144" t="s">
        <v>398</v>
      </c>
      <c r="M44" s="124" t="s">
        <v>677</v>
      </c>
    </row>
    <row r="45" spans="1:13" x14ac:dyDescent="0.2">
      <c r="A45" s="433" t="s">
        <v>318</v>
      </c>
      <c r="B45" s="430"/>
      <c r="C45" s="430"/>
      <c r="D45" s="430"/>
      <c r="E45" s="430"/>
      <c r="F45" s="430"/>
      <c r="G45" s="430"/>
      <c r="H45" s="430"/>
      <c r="I45" s="430"/>
      <c r="J45" s="430"/>
      <c r="K45" s="430"/>
      <c r="L45" s="430"/>
      <c r="M45" s="431"/>
    </row>
    <row r="46" spans="1:13" x14ac:dyDescent="0.2">
      <c r="A46" s="415" t="s">
        <v>319</v>
      </c>
      <c r="B46" s="416"/>
      <c r="C46" s="416"/>
      <c r="D46" s="416"/>
      <c r="E46" s="416"/>
      <c r="F46" s="416"/>
      <c r="G46" s="416"/>
      <c r="H46" s="417"/>
      <c r="I46" s="417"/>
      <c r="J46" s="417"/>
      <c r="K46" s="417"/>
      <c r="L46" s="417"/>
      <c r="M46" s="418"/>
    </row>
    <row r="47" spans="1:13" ht="165" x14ac:dyDescent="0.2">
      <c r="A47" s="224" t="s">
        <v>320</v>
      </c>
      <c r="B47" s="250" t="s">
        <v>415</v>
      </c>
      <c r="C47" s="280" t="s">
        <v>624</v>
      </c>
      <c r="D47" s="251">
        <f>ComprehensiveStrategicFinances!C73</f>
        <v>2529547.33</v>
      </c>
      <c r="E47" s="303">
        <f>D47/$E$11</f>
        <v>1.9549749833368338E-2</v>
      </c>
      <c r="F47" s="280" t="s">
        <v>624</v>
      </c>
      <c r="G47" s="251">
        <f>ComprehensiveStrategicFinances!C213</f>
        <v>2726795.0746354936</v>
      </c>
      <c r="H47" s="321">
        <f>G47/$E$11</f>
        <v>2.1074190201447955E-2</v>
      </c>
      <c r="I47" s="253" t="s">
        <v>416</v>
      </c>
      <c r="J47" s="254" t="s">
        <v>417</v>
      </c>
      <c r="K47" s="254" t="s">
        <v>418</v>
      </c>
      <c r="L47" s="255" t="s">
        <v>398</v>
      </c>
      <c r="M47" s="254" t="s">
        <v>419</v>
      </c>
    </row>
    <row r="48" spans="1:13" ht="75" x14ac:dyDescent="0.2">
      <c r="A48" s="135" t="s">
        <v>321</v>
      </c>
      <c r="B48" s="123" t="s">
        <v>420</v>
      </c>
      <c r="C48" s="281" t="s">
        <v>625</v>
      </c>
      <c r="D48" s="196">
        <f>ComprehensiveStrategicFinances!C74</f>
        <v>3243975.51</v>
      </c>
      <c r="E48" s="304">
        <f>D48/$E$11</f>
        <v>2.5071248493331595E-2</v>
      </c>
      <c r="F48" s="281" t="s">
        <v>626</v>
      </c>
      <c r="G48" s="196">
        <f>ComprehensiveStrategicFinances!C214</f>
        <v>3500256.7452693302</v>
      </c>
      <c r="H48" s="321">
        <f>G48/$E$11</f>
        <v>2.7051932537896211E-2</v>
      </c>
      <c r="I48" s="128" t="s">
        <v>151</v>
      </c>
      <c r="J48" s="124" t="s">
        <v>417</v>
      </c>
      <c r="K48" s="124" t="s">
        <v>418</v>
      </c>
      <c r="L48" s="143" t="s">
        <v>398</v>
      </c>
      <c r="M48" s="124" t="s">
        <v>627</v>
      </c>
    </row>
    <row r="49" spans="1:13" ht="60" x14ac:dyDescent="0.2">
      <c r="A49" s="135" t="s">
        <v>322</v>
      </c>
      <c r="B49" s="123" t="s">
        <v>421</v>
      </c>
      <c r="C49" s="281" t="s">
        <v>533</v>
      </c>
      <c r="D49" s="196">
        <f>ComprehensiveStrategicFinances!C75</f>
        <v>74850.239999999991</v>
      </c>
      <c r="E49" s="304">
        <f>D49/$E$11</f>
        <v>5.7848431994651783E-4</v>
      </c>
      <c r="F49" s="281" t="s">
        <v>533</v>
      </c>
      <c r="G49" s="196">
        <f>ComprehensiveStrategicFinances!C215</f>
        <v>77032.940564609598</v>
      </c>
      <c r="H49" s="321">
        <f>G49/$E$11</f>
        <v>5.9535344490543667E-4</v>
      </c>
      <c r="I49" s="128" t="s">
        <v>152</v>
      </c>
      <c r="J49" s="124" t="s">
        <v>417</v>
      </c>
      <c r="K49" s="124" t="s">
        <v>422</v>
      </c>
      <c r="L49" s="143" t="s">
        <v>398</v>
      </c>
      <c r="M49" s="124" t="s">
        <v>31</v>
      </c>
    </row>
    <row r="50" spans="1:13" ht="105" x14ac:dyDescent="0.2">
      <c r="A50" s="240" t="s">
        <v>323</v>
      </c>
      <c r="B50" s="241" t="s">
        <v>423</v>
      </c>
      <c r="C50" s="282" t="s">
        <v>534</v>
      </c>
      <c r="D50" s="242">
        <f>ComprehensiveStrategicFinances!C76</f>
        <v>1031306.69</v>
      </c>
      <c r="E50" s="305">
        <f>D50/$E$11</f>
        <v>7.9705121749902783E-3</v>
      </c>
      <c r="F50" s="282" t="s">
        <v>535</v>
      </c>
      <c r="G50" s="242">
        <f>ComprehensiveStrategicFinances!C216</f>
        <v>1054133.2309162295</v>
      </c>
      <c r="H50" s="321">
        <f>G50/$E$11</f>
        <v>8.1469283895362361E-3</v>
      </c>
      <c r="I50" s="243" t="s">
        <v>424</v>
      </c>
      <c r="J50" s="244" t="s">
        <v>417</v>
      </c>
      <c r="K50" s="244" t="s">
        <v>418</v>
      </c>
      <c r="L50" s="245" t="s">
        <v>398</v>
      </c>
      <c r="M50" s="244" t="s">
        <v>628</v>
      </c>
    </row>
    <row r="51" spans="1:13" x14ac:dyDescent="0.2">
      <c r="A51" s="415" t="s">
        <v>324</v>
      </c>
      <c r="B51" s="416"/>
      <c r="C51" s="416"/>
      <c r="D51" s="416"/>
      <c r="E51" s="416"/>
      <c r="F51" s="416"/>
      <c r="G51" s="416"/>
      <c r="H51" s="417"/>
      <c r="I51" s="417"/>
      <c r="J51" s="417"/>
      <c r="K51" s="417"/>
      <c r="L51" s="417"/>
      <c r="M51" s="418"/>
    </row>
    <row r="52" spans="1:13" ht="75" x14ac:dyDescent="0.2">
      <c r="A52" s="224" t="s">
        <v>325</v>
      </c>
      <c r="B52" s="250" t="s">
        <v>425</v>
      </c>
      <c r="C52" s="287" t="s">
        <v>629</v>
      </c>
      <c r="D52" s="251">
        <f>ComprehensiveStrategicFinances!C78</f>
        <v>516138.8</v>
      </c>
      <c r="E52" s="303">
        <f>D52/$E$11</f>
        <v>3.9890079539626295E-3</v>
      </c>
      <c r="F52" s="280" t="s">
        <v>629</v>
      </c>
      <c r="G52" s="252">
        <f>ComprehensiveStrategicFinances!C218</f>
        <v>748958.13663092186</v>
      </c>
      <c r="H52" s="321">
        <f>G52/$E$11</f>
        <v>5.788365385833767E-3</v>
      </c>
      <c r="I52" s="253" t="s">
        <v>426</v>
      </c>
      <c r="J52" s="254" t="s">
        <v>417</v>
      </c>
      <c r="K52" s="254" t="s">
        <v>427</v>
      </c>
      <c r="L52" s="255" t="s">
        <v>398</v>
      </c>
      <c r="M52" s="254" t="s">
        <v>633</v>
      </c>
    </row>
    <row r="53" spans="1:13" ht="75" x14ac:dyDescent="0.2">
      <c r="A53" s="135" t="s">
        <v>147</v>
      </c>
      <c r="B53" s="123" t="s">
        <v>428</v>
      </c>
      <c r="C53" s="288" t="s">
        <v>630</v>
      </c>
      <c r="D53" s="196">
        <f>ComprehensiveStrategicFinances!C79</f>
        <v>1202603.7300000002</v>
      </c>
      <c r="E53" s="304">
        <f>D53/$E$11</f>
        <v>9.294391052242397E-3</v>
      </c>
      <c r="F53" s="281" t="s">
        <v>631</v>
      </c>
      <c r="G53" s="198">
        <f>ComprehensiveStrategicFinances!C219</f>
        <v>1245422.6915380899</v>
      </c>
      <c r="H53" s="321">
        <f>G53/$E$11</f>
        <v>9.6253198220924048E-3</v>
      </c>
      <c r="I53" s="128" t="s">
        <v>153</v>
      </c>
      <c r="J53" s="124" t="s">
        <v>417</v>
      </c>
      <c r="K53" s="124" t="s">
        <v>429</v>
      </c>
      <c r="L53" s="143" t="s">
        <v>398</v>
      </c>
      <c r="M53" s="124" t="s">
        <v>633</v>
      </c>
    </row>
    <row r="54" spans="1:13" ht="75" x14ac:dyDescent="0.2">
      <c r="A54" s="240" t="s">
        <v>767</v>
      </c>
      <c r="B54" s="241" t="s">
        <v>430</v>
      </c>
      <c r="C54" s="289" t="s">
        <v>536</v>
      </c>
      <c r="D54" s="242">
        <f>ComprehensiveStrategicFinances!C80</f>
        <v>520509.76000000007</v>
      </c>
      <c r="E54" s="305">
        <f>D54/$E$11</f>
        <v>4.0227891659281954E-3</v>
      </c>
      <c r="F54" s="282" t="s">
        <v>632</v>
      </c>
      <c r="G54" s="246">
        <f>ComprehensiveStrategicFinances!C220</f>
        <v>553817.08914028003</v>
      </c>
      <c r="H54" s="321">
        <f>G54/$E$11</f>
        <v>4.2802067459780354E-3</v>
      </c>
      <c r="I54" s="243" t="s">
        <v>154</v>
      </c>
      <c r="J54" s="244" t="s">
        <v>417</v>
      </c>
      <c r="K54" s="244" t="s">
        <v>431</v>
      </c>
      <c r="L54" s="245" t="s">
        <v>398</v>
      </c>
      <c r="M54" s="244" t="s">
        <v>432</v>
      </c>
    </row>
    <row r="55" spans="1:13" x14ac:dyDescent="0.2">
      <c r="A55" s="415" t="s">
        <v>326</v>
      </c>
      <c r="B55" s="417"/>
      <c r="C55" s="417"/>
      <c r="D55" s="417"/>
      <c r="E55" s="417"/>
      <c r="F55" s="417"/>
      <c r="G55" s="417"/>
      <c r="H55" s="417"/>
      <c r="I55" s="417"/>
      <c r="J55" s="417"/>
      <c r="K55" s="417"/>
      <c r="L55" s="417"/>
      <c r="M55" s="418"/>
    </row>
    <row r="56" spans="1:13" ht="60" x14ac:dyDescent="0.2">
      <c r="A56" s="256" t="s">
        <v>327</v>
      </c>
      <c r="B56" s="226" t="s">
        <v>433</v>
      </c>
      <c r="C56" s="290" t="s">
        <v>707</v>
      </c>
      <c r="D56" s="227">
        <f>ComprehensiveStrategicFinances!C82</f>
        <v>2123996.0099999998</v>
      </c>
      <c r="E56" s="303">
        <f>D56/$E$11</f>
        <v>1.641542348313068E-2</v>
      </c>
      <c r="F56" s="311" t="s">
        <v>539</v>
      </c>
      <c r="G56" s="228">
        <f>ComprehensiveStrategicFinances!C222</f>
        <v>1409372.1808397863</v>
      </c>
      <c r="H56" s="321">
        <f>G56/$E$11</f>
        <v>1.08924127375496E-2</v>
      </c>
      <c r="I56" s="229" t="s">
        <v>155</v>
      </c>
      <c r="J56" s="230" t="s">
        <v>417</v>
      </c>
      <c r="K56" s="230" t="s">
        <v>434</v>
      </c>
      <c r="L56" s="231" t="s">
        <v>398</v>
      </c>
      <c r="M56" s="230" t="s">
        <v>435</v>
      </c>
    </row>
    <row r="57" spans="1:13" ht="60" x14ac:dyDescent="0.2">
      <c r="A57" s="132" t="s">
        <v>328</v>
      </c>
      <c r="B57" s="129" t="s">
        <v>436</v>
      </c>
      <c r="C57" s="291" t="s">
        <v>537</v>
      </c>
      <c r="D57" s="117">
        <f>ComprehensiveStrategicFinances!C83</f>
        <v>474700.48</v>
      </c>
      <c r="E57" s="304">
        <f>D57/$E$11</f>
        <v>3.6687495504501466E-3</v>
      </c>
      <c r="F57" s="312" t="s">
        <v>540</v>
      </c>
      <c r="G57" s="199">
        <f>ComprehensiveStrategicFinances!C223</f>
        <v>505282.84546012111</v>
      </c>
      <c r="H57" s="321">
        <f>G57/$E$11</f>
        <v>3.9051070943344956E-3</v>
      </c>
      <c r="I57" s="130" t="s">
        <v>156</v>
      </c>
      <c r="J57" s="131" t="s">
        <v>417</v>
      </c>
      <c r="K57" s="131" t="s">
        <v>429</v>
      </c>
      <c r="L57" s="145" t="s">
        <v>398</v>
      </c>
      <c r="M57" s="131" t="s">
        <v>437</v>
      </c>
    </row>
    <row r="58" spans="1:13" ht="60" x14ac:dyDescent="0.2">
      <c r="A58" s="247" t="s">
        <v>148</v>
      </c>
      <c r="B58" s="212" t="s">
        <v>438</v>
      </c>
      <c r="C58" s="292" t="s">
        <v>538</v>
      </c>
      <c r="D58" s="213">
        <f>ComprehensiveStrategicFinances!C84</f>
        <v>466374.47000000003</v>
      </c>
      <c r="E58" s="305">
        <f>D58/$E$11</f>
        <v>3.6044015105144312E-3</v>
      </c>
      <c r="F58" s="313" t="s">
        <v>541</v>
      </c>
      <c r="G58" s="214">
        <f>ComprehensiveStrategicFinances!C224</f>
        <v>518608.26143266575</v>
      </c>
      <c r="H58" s="321">
        <f>G58/$E$11</f>
        <v>4.0080933265347124E-3</v>
      </c>
      <c r="I58" s="195" t="s">
        <v>157</v>
      </c>
      <c r="J58" s="215" t="s">
        <v>417</v>
      </c>
      <c r="K58" s="215" t="s">
        <v>429</v>
      </c>
      <c r="L58" s="216" t="s">
        <v>398</v>
      </c>
      <c r="M58" s="215" t="s">
        <v>439</v>
      </c>
    </row>
    <row r="59" spans="1:13" x14ac:dyDescent="0.2">
      <c r="A59" s="415" t="s">
        <v>329</v>
      </c>
      <c r="B59" s="416"/>
      <c r="C59" s="416"/>
      <c r="D59" s="416"/>
      <c r="E59" s="416"/>
      <c r="F59" s="416"/>
      <c r="G59" s="416"/>
      <c r="H59" s="417"/>
      <c r="I59" s="417"/>
      <c r="J59" s="417"/>
      <c r="K59" s="417"/>
      <c r="L59" s="417"/>
      <c r="M59" s="418"/>
    </row>
    <row r="60" spans="1:13" ht="105" x14ac:dyDescent="0.2">
      <c r="A60" s="256" t="s">
        <v>330</v>
      </c>
      <c r="B60" s="226" t="s">
        <v>440</v>
      </c>
      <c r="C60" s="290" t="s">
        <v>708</v>
      </c>
      <c r="D60" s="227">
        <f>ComprehensiveStrategicFinances!C86</f>
        <v>217421.07999999996</v>
      </c>
      <c r="E60" s="303">
        <f>D60/$E$11</f>
        <v>1.6803511332206475E-3</v>
      </c>
      <c r="F60" s="311" t="s">
        <v>549</v>
      </c>
      <c r="G60" s="228">
        <f>ComprehensiveStrategicFinances!C226</f>
        <v>220182.54546280013</v>
      </c>
      <c r="H60" s="321">
        <f>G60/$E$11</f>
        <v>1.7016932754810297E-3</v>
      </c>
      <c r="I60" s="229" t="s">
        <v>158</v>
      </c>
      <c r="J60" s="230" t="s">
        <v>417</v>
      </c>
      <c r="K60" s="230" t="s">
        <v>441</v>
      </c>
      <c r="L60" s="231" t="s">
        <v>398</v>
      </c>
      <c r="M60" s="230" t="s">
        <v>442</v>
      </c>
    </row>
    <row r="61" spans="1:13" ht="75" x14ac:dyDescent="0.2">
      <c r="A61" s="135" t="s">
        <v>331</v>
      </c>
      <c r="B61" s="123" t="s">
        <v>443</v>
      </c>
      <c r="C61" s="288" t="s">
        <v>709</v>
      </c>
      <c r="D61" s="196">
        <f>ComprehensiveStrategicFinances!C87</f>
        <v>1611834.1599999997</v>
      </c>
      <c r="E61" s="304">
        <f>D61/$E$11</f>
        <v>1.2457151612528786E-2</v>
      </c>
      <c r="F61" s="281" t="s">
        <v>550</v>
      </c>
      <c r="G61" s="198">
        <f>ComprehensiveStrategicFinances!C227</f>
        <v>1720459.4841768001</v>
      </c>
      <c r="H61" s="321">
        <f>G61/$E$11</f>
        <v>1.3296668583822217E-2</v>
      </c>
      <c r="I61" s="128" t="s">
        <v>444</v>
      </c>
      <c r="J61" s="124" t="s">
        <v>417</v>
      </c>
      <c r="K61" s="124" t="s">
        <v>441</v>
      </c>
      <c r="L61" s="143" t="s">
        <v>398</v>
      </c>
      <c r="M61" s="124" t="s">
        <v>445</v>
      </c>
    </row>
    <row r="62" spans="1:13" ht="105" x14ac:dyDescent="0.2">
      <c r="A62" s="135" t="s">
        <v>149</v>
      </c>
      <c r="B62" s="123" t="s">
        <v>446</v>
      </c>
      <c r="C62" s="288" t="s">
        <v>634</v>
      </c>
      <c r="D62" s="196">
        <f>ComprehensiveStrategicFinances!C88</f>
        <v>275686.60000000003</v>
      </c>
      <c r="E62" s="304">
        <f>D62/$E$11</f>
        <v>2.1306595051581358E-3</v>
      </c>
      <c r="F62" s="281" t="s">
        <v>635</v>
      </c>
      <c r="G62" s="198">
        <f>ComprehensiveStrategicFinances!C228</f>
        <v>282760.45347503241</v>
      </c>
      <c r="H62" s="321">
        <f>G62/$E$11</f>
        <v>2.1853301824586416E-3</v>
      </c>
      <c r="I62" s="128" t="s">
        <v>710</v>
      </c>
      <c r="J62" s="124" t="s">
        <v>417</v>
      </c>
      <c r="K62" s="124" t="s">
        <v>447</v>
      </c>
      <c r="L62" s="143" t="s">
        <v>398</v>
      </c>
      <c r="M62" s="124" t="s">
        <v>448</v>
      </c>
    </row>
    <row r="63" spans="1:13" ht="45" x14ac:dyDescent="0.2">
      <c r="A63" s="247" t="s">
        <v>332</v>
      </c>
      <c r="B63" s="212" t="s">
        <v>449</v>
      </c>
      <c r="C63" s="292" t="s">
        <v>548</v>
      </c>
      <c r="D63" s="248">
        <f>ComprehensiveStrategicFinances!C89</f>
        <v>368821.82999999996</v>
      </c>
      <c r="E63" s="305">
        <f>D63/$E$11</f>
        <v>2.8504604061253538E-3</v>
      </c>
      <c r="F63" s="313" t="s">
        <v>551</v>
      </c>
      <c r="G63" s="249">
        <f>ComprehensiveStrategicFinances!C229</f>
        <v>401105.68419768498</v>
      </c>
      <c r="H63" s="321">
        <f>G63/$E$11</f>
        <v>3.0999680021036747E-3</v>
      </c>
      <c r="I63" s="195" t="s">
        <v>450</v>
      </c>
      <c r="J63" s="215" t="s">
        <v>417</v>
      </c>
      <c r="K63" s="215" t="s">
        <v>451</v>
      </c>
      <c r="L63" s="216" t="s">
        <v>398</v>
      </c>
      <c r="M63" s="215" t="s">
        <v>448</v>
      </c>
    </row>
    <row r="64" spans="1:13" x14ac:dyDescent="0.2">
      <c r="A64" s="415" t="s">
        <v>333</v>
      </c>
      <c r="B64" s="416"/>
      <c r="C64" s="416"/>
      <c r="D64" s="416"/>
      <c r="E64" s="416"/>
      <c r="F64" s="416"/>
      <c r="G64" s="416"/>
      <c r="H64" s="417"/>
      <c r="I64" s="417"/>
      <c r="J64" s="417"/>
      <c r="K64" s="417"/>
      <c r="L64" s="417"/>
      <c r="M64" s="418"/>
    </row>
    <row r="65" spans="1:13" ht="90" x14ac:dyDescent="0.2">
      <c r="A65" s="224" t="s">
        <v>334</v>
      </c>
      <c r="B65" s="250" t="s">
        <v>452</v>
      </c>
      <c r="C65" s="287" t="s">
        <v>636</v>
      </c>
      <c r="D65" s="257">
        <f>ComprehensiveStrategicFinances!C91</f>
        <v>3903501.17</v>
      </c>
      <c r="E65" s="303">
        <f>D65/$E$11</f>
        <v>3.016842991736415E-2</v>
      </c>
      <c r="F65" s="311" t="s">
        <v>636</v>
      </c>
      <c r="G65" s="258">
        <f>ComprehensiveStrategicFinances!C231</f>
        <v>5007933.6362601547</v>
      </c>
      <c r="H65" s="321">
        <f>G65/$E$11</f>
        <v>3.8704098796600354E-2</v>
      </c>
      <c r="I65" s="323" t="s">
        <v>647</v>
      </c>
      <c r="J65" s="254" t="s">
        <v>417</v>
      </c>
      <c r="K65" s="254" t="s">
        <v>453</v>
      </c>
      <c r="L65" s="255" t="s">
        <v>398</v>
      </c>
      <c r="M65" s="224" t="s">
        <v>454</v>
      </c>
    </row>
    <row r="66" spans="1:13" x14ac:dyDescent="0.2">
      <c r="A66" s="433" t="s">
        <v>150</v>
      </c>
      <c r="B66" s="430"/>
      <c r="C66" s="430"/>
      <c r="D66" s="430"/>
      <c r="E66" s="430"/>
      <c r="F66" s="430"/>
      <c r="G66" s="430"/>
      <c r="H66" s="430"/>
      <c r="I66" s="430"/>
      <c r="J66" s="430"/>
      <c r="K66" s="430"/>
      <c r="L66" s="430"/>
      <c r="M66" s="431"/>
    </row>
    <row r="67" spans="1:13" x14ac:dyDescent="0.2">
      <c r="A67" s="415" t="s">
        <v>335</v>
      </c>
      <c r="B67" s="416"/>
      <c r="C67" s="416"/>
      <c r="D67" s="416"/>
      <c r="E67" s="416"/>
      <c r="F67" s="416"/>
      <c r="G67" s="416"/>
      <c r="H67" s="417"/>
      <c r="I67" s="417"/>
      <c r="J67" s="417"/>
      <c r="K67" s="417"/>
      <c r="L67" s="417"/>
      <c r="M67" s="418"/>
    </row>
    <row r="68" spans="1:13" ht="90" x14ac:dyDescent="0.2">
      <c r="A68" s="217" t="s">
        <v>336</v>
      </c>
      <c r="B68" s="218" t="s">
        <v>455</v>
      </c>
      <c r="C68" s="293" t="s">
        <v>556</v>
      </c>
      <c r="D68" s="219">
        <f>ComprehensiveStrategicFinances!C94</f>
        <v>4605850</v>
      </c>
      <c r="E68" s="303">
        <f>D68/$E$11</f>
        <v>3.5596572636582988E-2</v>
      </c>
      <c r="F68" s="284" t="s">
        <v>557</v>
      </c>
      <c r="G68" s="220">
        <f>ComprehensiveStrategicFinances!C234</f>
        <v>5354473.0199999996</v>
      </c>
      <c r="H68" s="321">
        <f>G68/$E$11</f>
        <v>4.138234805455103E-2</v>
      </c>
      <c r="I68" s="221" t="s">
        <v>507</v>
      </c>
      <c r="J68" s="222" t="s">
        <v>456</v>
      </c>
      <c r="K68" s="222" t="s">
        <v>457</v>
      </c>
      <c r="L68" s="223" t="s">
        <v>398</v>
      </c>
      <c r="M68" s="224" t="s">
        <v>690</v>
      </c>
    </row>
    <row r="69" spans="1:13" ht="90" x14ac:dyDescent="0.2">
      <c r="A69" s="136" t="s">
        <v>337</v>
      </c>
      <c r="B69" s="125" t="s">
        <v>458</v>
      </c>
      <c r="C69" s="294" t="s">
        <v>558</v>
      </c>
      <c r="D69" s="201">
        <f>ComprehensiveStrategicFinances!C95</f>
        <v>13135565.340000002</v>
      </c>
      <c r="E69" s="304">
        <f>D69/$E$11</f>
        <v>0.10151896083196195</v>
      </c>
      <c r="F69" s="286" t="s">
        <v>559</v>
      </c>
      <c r="G69" s="200">
        <f>ComprehensiveStrategicFinances!C235</f>
        <v>14965499.430000002</v>
      </c>
      <c r="H69" s="321">
        <f>G69/$E$11</f>
        <v>0.1156617101083918</v>
      </c>
      <c r="I69" s="137" t="s">
        <v>511</v>
      </c>
      <c r="J69" s="127" t="s">
        <v>456</v>
      </c>
      <c r="K69" s="127" t="s">
        <v>459</v>
      </c>
      <c r="L69" s="144" t="s">
        <v>398</v>
      </c>
      <c r="M69" s="127" t="s">
        <v>23</v>
      </c>
    </row>
    <row r="70" spans="1:13" ht="105" x14ac:dyDescent="0.2">
      <c r="A70" s="136" t="s">
        <v>338</v>
      </c>
      <c r="B70" s="125" t="s">
        <v>460</v>
      </c>
      <c r="C70" s="294" t="s">
        <v>560</v>
      </c>
      <c r="D70" s="201">
        <f>ComprehensiveStrategicFinances!C96</f>
        <v>1092486.5</v>
      </c>
      <c r="E70" s="304">
        <f>D70/$E$11</f>
        <v>8.4433438022810808E-3</v>
      </c>
      <c r="F70" s="286" t="s">
        <v>561</v>
      </c>
      <c r="G70" s="200">
        <f>ComprehensiveStrategicFinances!C236</f>
        <v>1275072.21</v>
      </c>
      <c r="H70" s="321">
        <f>G70/$E$11</f>
        <v>9.8544678051072868E-3</v>
      </c>
      <c r="I70" s="137" t="s">
        <v>512</v>
      </c>
      <c r="J70" s="127" t="s">
        <v>456</v>
      </c>
      <c r="K70" s="127" t="s">
        <v>461</v>
      </c>
      <c r="L70" s="144" t="s">
        <v>398</v>
      </c>
      <c r="M70" s="127" t="s">
        <v>23</v>
      </c>
    </row>
    <row r="71" spans="1:13" ht="150" x14ac:dyDescent="0.2">
      <c r="A71" s="205" t="s">
        <v>339</v>
      </c>
      <c r="B71" s="206" t="s">
        <v>462</v>
      </c>
      <c r="C71" s="295" t="s">
        <v>562</v>
      </c>
      <c r="D71" s="207">
        <f>ComprehensiveStrategicFinances!C97</f>
        <v>2016906.78</v>
      </c>
      <c r="E71" s="305">
        <f>D71/$E$11</f>
        <v>1.5587778302699111E-2</v>
      </c>
      <c r="F71" s="285" t="s">
        <v>563</v>
      </c>
      <c r="G71" s="208">
        <f>ComprehensiveStrategicFinances!C237</f>
        <v>3457529.51</v>
      </c>
      <c r="H71" s="321">
        <f>G71/$E$11</f>
        <v>2.6721712679710404E-2</v>
      </c>
      <c r="I71" s="209" t="s">
        <v>768</v>
      </c>
      <c r="J71" s="210" t="s">
        <v>456</v>
      </c>
      <c r="K71" s="210" t="s">
        <v>459</v>
      </c>
      <c r="L71" s="211" t="s">
        <v>398</v>
      </c>
      <c r="M71" s="210" t="s">
        <v>24</v>
      </c>
    </row>
    <row r="72" spans="1:13" x14ac:dyDescent="0.2">
      <c r="A72" s="415" t="s">
        <v>340</v>
      </c>
      <c r="B72" s="416"/>
      <c r="C72" s="416"/>
      <c r="D72" s="416"/>
      <c r="E72" s="416"/>
      <c r="F72" s="416"/>
      <c r="G72" s="416"/>
      <c r="H72" s="417"/>
      <c r="I72" s="417"/>
      <c r="J72" s="417"/>
      <c r="K72" s="417"/>
      <c r="L72" s="417"/>
      <c r="M72" s="418"/>
    </row>
    <row r="73" spans="1:13" ht="75" x14ac:dyDescent="0.2">
      <c r="A73" s="217" t="s">
        <v>341</v>
      </c>
      <c r="B73" s="218" t="s">
        <v>463</v>
      </c>
      <c r="C73" s="293" t="s">
        <v>545</v>
      </c>
      <c r="D73" s="219">
        <f>ComprehensiveStrategicFinances!C99</f>
        <v>1426836.87</v>
      </c>
      <c r="E73" s="303">
        <f>D73/$E$11</f>
        <v>1.102738957706172E-2</v>
      </c>
      <c r="F73" s="284" t="s">
        <v>547</v>
      </c>
      <c r="G73" s="220">
        <f>ComprehensiveStrategicFinances!C239</f>
        <v>2749327.79</v>
      </c>
      <c r="H73" s="321">
        <f>G73/$E$11</f>
        <v>2.1248335568572831E-2</v>
      </c>
      <c r="I73" s="221" t="s">
        <v>464</v>
      </c>
      <c r="J73" s="222" t="s">
        <v>456</v>
      </c>
      <c r="K73" s="222" t="s">
        <v>465</v>
      </c>
      <c r="L73" s="223" t="s">
        <v>398</v>
      </c>
      <c r="M73" s="222" t="s">
        <v>692</v>
      </c>
    </row>
    <row r="74" spans="1:13" ht="75" x14ac:dyDescent="0.2">
      <c r="A74" s="136" t="s">
        <v>342</v>
      </c>
      <c r="B74" s="125" t="s">
        <v>466</v>
      </c>
      <c r="C74" s="294" t="s">
        <v>545</v>
      </c>
      <c r="D74" s="201">
        <f>ComprehensiveStrategicFinances!C100</f>
        <v>1462291</v>
      </c>
      <c r="E74" s="307"/>
      <c r="F74" s="286" t="s">
        <v>725</v>
      </c>
      <c r="G74" s="200">
        <f>ComprehensiveStrategicFinances!C240</f>
        <v>1614397.81</v>
      </c>
      <c r="H74" s="324"/>
      <c r="I74" s="137" t="s">
        <v>467</v>
      </c>
      <c r="J74" s="127" t="s">
        <v>456</v>
      </c>
      <c r="K74" s="127" t="s">
        <v>465</v>
      </c>
      <c r="L74" s="144" t="s">
        <v>398</v>
      </c>
      <c r="M74" s="127" t="s">
        <v>691</v>
      </c>
    </row>
    <row r="75" spans="1:13" x14ac:dyDescent="0.2">
      <c r="A75" s="415" t="s">
        <v>343</v>
      </c>
      <c r="B75" s="416"/>
      <c r="C75" s="416"/>
      <c r="D75" s="416"/>
      <c r="E75" s="416"/>
      <c r="F75" s="416"/>
      <c r="G75" s="416"/>
      <c r="H75" s="417"/>
      <c r="I75" s="417"/>
      <c r="J75" s="417"/>
      <c r="K75" s="417"/>
      <c r="L75" s="417"/>
      <c r="M75" s="418"/>
    </row>
    <row r="76" spans="1:13" ht="135" x14ac:dyDescent="0.2">
      <c r="A76" s="217" t="s">
        <v>344</v>
      </c>
      <c r="B76" s="218" t="s">
        <v>468</v>
      </c>
      <c r="C76" s="293" t="s">
        <v>564</v>
      </c>
      <c r="D76" s="225">
        <f>ComprehensiveStrategicFinances!C102</f>
        <v>9904981.5700000003</v>
      </c>
      <c r="E76" s="303">
        <f>D76/$E$11</f>
        <v>7.6551211159833862E-2</v>
      </c>
      <c r="F76" s="284" t="s">
        <v>565</v>
      </c>
      <c r="G76" s="220">
        <f>ComprehensiveStrategicFinances!C242</f>
        <v>8211119.3100000005</v>
      </c>
      <c r="H76" s="321">
        <f>G76/$E$11</f>
        <v>6.3460100729738095E-2</v>
      </c>
      <c r="I76" s="221" t="s">
        <v>508</v>
      </c>
      <c r="J76" s="222" t="s">
        <v>456</v>
      </c>
      <c r="K76" s="222" t="s">
        <v>513</v>
      </c>
      <c r="L76" s="223" t="s">
        <v>398</v>
      </c>
      <c r="M76" s="222" t="s">
        <v>649</v>
      </c>
    </row>
    <row r="77" spans="1:13" ht="75" x14ac:dyDescent="0.2">
      <c r="A77" s="136" t="s">
        <v>345</v>
      </c>
      <c r="B77" s="125" t="s">
        <v>469</v>
      </c>
      <c r="C77" s="294" t="s">
        <v>544</v>
      </c>
      <c r="D77" s="202">
        <f>ComprehensiveStrategicFinances!C103</f>
        <v>962577.97</v>
      </c>
      <c r="E77" s="304">
        <f>D77/$E$11</f>
        <v>7.4393383691348175E-3</v>
      </c>
      <c r="F77" s="286" t="s">
        <v>544</v>
      </c>
      <c r="G77" s="200">
        <f>ComprehensiveStrategicFinances!C243</f>
        <v>820697.81</v>
      </c>
      <c r="H77" s="321">
        <f>G77/$E$11</f>
        <v>6.3428095153662371E-3</v>
      </c>
      <c r="I77" s="137" t="s">
        <v>470</v>
      </c>
      <c r="J77" s="127" t="s">
        <v>456</v>
      </c>
      <c r="K77" s="127" t="s">
        <v>465</v>
      </c>
      <c r="L77" s="144" t="s">
        <v>398</v>
      </c>
      <c r="M77" s="127" t="s">
        <v>693</v>
      </c>
    </row>
    <row r="78" spans="1:13" ht="120" x14ac:dyDescent="0.2">
      <c r="A78" s="136" t="s">
        <v>776</v>
      </c>
      <c r="B78" s="125" t="s">
        <v>471</v>
      </c>
      <c r="C78" s="294" t="s">
        <v>543</v>
      </c>
      <c r="D78" s="202">
        <f>ComprehensiveStrategicFinances!C104</f>
        <v>322005</v>
      </c>
      <c r="E78" s="304">
        <f>D78/$E$11</f>
        <v>2.4886338833967465E-3</v>
      </c>
      <c r="F78" s="286" t="s">
        <v>546</v>
      </c>
      <c r="G78" s="200">
        <f>ComprehensiveStrategicFinances!C244</f>
        <v>438690</v>
      </c>
      <c r="H78" s="321">
        <f>G78/$E$11</f>
        <v>3.390440515853228E-3</v>
      </c>
      <c r="I78" s="137" t="s">
        <v>509</v>
      </c>
      <c r="J78" s="127" t="s">
        <v>456</v>
      </c>
      <c r="K78" s="127" t="s">
        <v>459</v>
      </c>
      <c r="L78" s="144" t="s">
        <v>398</v>
      </c>
      <c r="M78" s="127" t="s">
        <v>691</v>
      </c>
    </row>
    <row r="79" spans="1:13" ht="75" x14ac:dyDescent="0.2">
      <c r="A79" s="138" t="s">
        <v>510</v>
      </c>
      <c r="B79" s="125" t="s">
        <v>472</v>
      </c>
      <c r="C79" s="294" t="s">
        <v>566</v>
      </c>
      <c r="D79" s="202">
        <f>ComprehensiveStrategicFinances!C105</f>
        <v>418644.3</v>
      </c>
      <c r="E79" s="304">
        <f>D79/$E$11</f>
        <v>3.2355161878570597E-3</v>
      </c>
      <c r="F79" s="286" t="s">
        <v>542</v>
      </c>
      <c r="G79" s="200">
        <f>ComprehensiveStrategicFinances!C245</f>
        <v>453345</v>
      </c>
      <c r="H79" s="321">
        <f>G79/$E$11</f>
        <v>3.5037025135277343E-3</v>
      </c>
      <c r="I79" s="137" t="s">
        <v>568</v>
      </c>
      <c r="J79" s="127" t="s">
        <v>456</v>
      </c>
      <c r="K79" s="127" t="s">
        <v>459</v>
      </c>
      <c r="L79" s="144" t="s">
        <v>398</v>
      </c>
      <c r="M79" s="131" t="s">
        <v>694</v>
      </c>
    </row>
    <row r="80" spans="1:13" x14ac:dyDescent="0.2">
      <c r="A80" s="429" t="s">
        <v>504</v>
      </c>
      <c r="B80" s="430"/>
      <c r="C80" s="430"/>
      <c r="D80" s="430"/>
      <c r="E80" s="430"/>
      <c r="F80" s="430"/>
      <c r="G80" s="430"/>
      <c r="H80" s="430"/>
      <c r="I80" s="430"/>
      <c r="J80" s="430"/>
      <c r="K80" s="430"/>
      <c r="L80" s="430"/>
      <c r="M80" s="431"/>
    </row>
    <row r="81" spans="1:13" x14ac:dyDescent="0.2">
      <c r="A81" s="419" t="s">
        <v>346</v>
      </c>
      <c r="B81" s="416"/>
      <c r="C81" s="416"/>
      <c r="D81" s="416"/>
      <c r="E81" s="416"/>
      <c r="F81" s="416"/>
      <c r="G81" s="416"/>
      <c r="H81" s="417"/>
      <c r="I81" s="417"/>
      <c r="J81" s="417"/>
      <c r="K81" s="417"/>
      <c r="L81" s="417"/>
      <c r="M81" s="418"/>
    </row>
    <row r="82" spans="1:13" ht="90" x14ac:dyDescent="0.2">
      <c r="A82" s="217" t="s">
        <v>347</v>
      </c>
      <c r="B82" s="226" t="s">
        <v>769</v>
      </c>
      <c r="C82" s="290" t="s">
        <v>520</v>
      </c>
      <c r="D82" s="227">
        <f>ComprehensiveStrategicFinances!C108</f>
        <v>1320162.81</v>
      </c>
      <c r="E82" s="303">
        <f>D82/$E$11</f>
        <v>1.0202953061493646E-2</v>
      </c>
      <c r="F82" s="311" t="s">
        <v>763</v>
      </c>
      <c r="G82" s="228">
        <f>ComprehensiveStrategicFinances!C248</f>
        <v>996927</v>
      </c>
      <c r="H82" s="321">
        <f>G82/$E$11</f>
        <v>7.7048067932891356E-3</v>
      </c>
      <c r="I82" s="229" t="s">
        <v>778</v>
      </c>
      <c r="J82" s="230" t="s">
        <v>637</v>
      </c>
      <c r="K82" s="230" t="s">
        <v>567</v>
      </c>
      <c r="L82" s="231" t="s">
        <v>398</v>
      </c>
      <c r="M82" s="230" t="s">
        <v>648</v>
      </c>
    </row>
    <row r="83" spans="1:13" ht="120" x14ac:dyDescent="0.2">
      <c r="A83" s="205" t="s">
        <v>348</v>
      </c>
      <c r="B83" s="212" t="s">
        <v>779</v>
      </c>
      <c r="C83" s="292" t="s">
        <v>518</v>
      </c>
      <c r="D83" s="213">
        <f>ComprehensiveStrategicFinances!C109</f>
        <v>993056.93</v>
      </c>
      <c r="E83" s="305">
        <f>D83/$E$11</f>
        <v>7.674896738062922E-3</v>
      </c>
      <c r="F83" s="313" t="s">
        <v>764</v>
      </c>
      <c r="G83" s="214">
        <f>ComprehensiveStrategicFinances!C249</f>
        <v>1280415</v>
      </c>
      <c r="H83" s="321">
        <f>G83/$E$11</f>
        <v>9.8957598602799485E-3</v>
      </c>
      <c r="I83" s="195" t="s">
        <v>777</v>
      </c>
      <c r="J83" s="215" t="s">
        <v>637</v>
      </c>
      <c r="K83" s="215" t="s">
        <v>567</v>
      </c>
      <c r="L83" s="216" t="s">
        <v>398</v>
      </c>
      <c r="M83" s="215" t="s">
        <v>649</v>
      </c>
    </row>
    <row r="84" spans="1:13" x14ac:dyDescent="0.2">
      <c r="A84" s="419" t="s">
        <v>349</v>
      </c>
      <c r="B84" s="416"/>
      <c r="C84" s="416"/>
      <c r="D84" s="416"/>
      <c r="E84" s="416"/>
      <c r="F84" s="416"/>
      <c r="G84" s="416"/>
      <c r="H84" s="417"/>
      <c r="I84" s="417"/>
      <c r="J84" s="417"/>
      <c r="K84" s="417"/>
      <c r="L84" s="417"/>
      <c r="M84" s="418"/>
    </row>
    <row r="85" spans="1:13" ht="120" x14ac:dyDescent="0.2">
      <c r="A85" s="217" t="s">
        <v>350</v>
      </c>
      <c r="B85" s="226" t="s">
        <v>770</v>
      </c>
      <c r="C85" s="290" t="s">
        <v>517</v>
      </c>
      <c r="D85" s="227">
        <f>ComprehensiveStrategicFinances!C111</f>
        <v>3642751.459999999</v>
      </c>
      <c r="E85" s="303">
        <f>D85/$E$11</f>
        <v>2.815321101271398E-2</v>
      </c>
      <c r="F85" s="311" t="s">
        <v>517</v>
      </c>
      <c r="G85" s="228">
        <f>ComprehensiveStrategicFinances!C251</f>
        <v>3359370.6</v>
      </c>
      <c r="H85" s="321">
        <f>G85/$E$11</f>
        <v>2.5963085983282428E-2</v>
      </c>
      <c r="I85" s="229" t="s">
        <v>771</v>
      </c>
      <c r="J85" s="230" t="s">
        <v>637</v>
      </c>
      <c r="K85" s="230" t="s">
        <v>505</v>
      </c>
      <c r="L85" s="231" t="s">
        <v>398</v>
      </c>
      <c r="M85" s="230" t="s">
        <v>650</v>
      </c>
    </row>
    <row r="86" spans="1:13" ht="105" x14ac:dyDescent="0.2">
      <c r="A86" s="205" t="s">
        <v>351</v>
      </c>
      <c r="B86" s="212" t="s">
        <v>379</v>
      </c>
      <c r="C86" s="292" t="s">
        <v>760</v>
      </c>
      <c r="D86" s="213">
        <f>ComprehensiveStrategicFinances!C112</f>
        <v>4200322.7300000004</v>
      </c>
      <c r="E86" s="305">
        <f>D86/$E$11</f>
        <v>3.2462432158132715E-2</v>
      </c>
      <c r="F86" s="313" t="s">
        <v>761</v>
      </c>
      <c r="G86" s="214">
        <f>ComprehensiveStrategicFinances!C252</f>
        <v>3237632.6799999997</v>
      </c>
      <c r="H86" s="321">
        <f>G86/$E$11</f>
        <v>2.5022227572368799E-2</v>
      </c>
      <c r="I86" s="232" t="s">
        <v>379</v>
      </c>
      <c r="J86" s="215" t="s">
        <v>638</v>
      </c>
      <c r="K86" s="215" t="s">
        <v>555</v>
      </c>
      <c r="L86" s="216" t="s">
        <v>398</v>
      </c>
      <c r="M86" s="215" t="s">
        <v>651</v>
      </c>
    </row>
    <row r="87" spans="1:13" x14ac:dyDescent="0.2">
      <c r="A87" s="419" t="s">
        <v>817</v>
      </c>
      <c r="B87" s="416"/>
      <c r="C87" s="416"/>
      <c r="D87" s="416"/>
      <c r="E87" s="416"/>
      <c r="F87" s="416"/>
      <c r="G87" s="416"/>
      <c r="H87" s="417"/>
      <c r="I87" s="417"/>
      <c r="J87" s="417"/>
      <c r="K87" s="417"/>
      <c r="L87" s="417"/>
      <c r="M87" s="418"/>
    </row>
    <row r="88" spans="1:13" ht="60" x14ac:dyDescent="0.2">
      <c r="A88" s="217" t="s">
        <v>352</v>
      </c>
      <c r="B88" s="226" t="s">
        <v>639</v>
      </c>
      <c r="C88" s="290" t="s">
        <v>618</v>
      </c>
      <c r="D88" s="227">
        <f>ComprehensiveStrategicFinances!C114</f>
        <v>72478.27</v>
      </c>
      <c r="E88" s="303">
        <f>D88/$E$11</f>
        <v>5.6015241543447432E-4</v>
      </c>
      <c r="F88" s="311" t="s">
        <v>621</v>
      </c>
      <c r="G88" s="228">
        <f>ComprehensiveStrategicFinances!C254</f>
        <v>95450</v>
      </c>
      <c r="H88" s="321">
        <f>G88/$E$11</f>
        <v>7.376907320390039E-4</v>
      </c>
      <c r="I88" s="229" t="s">
        <v>642</v>
      </c>
      <c r="J88" s="229" t="s">
        <v>615</v>
      </c>
      <c r="K88" s="230" t="s">
        <v>553</v>
      </c>
      <c r="L88" s="231" t="s">
        <v>398</v>
      </c>
      <c r="M88" s="230" t="s">
        <v>695</v>
      </c>
    </row>
    <row r="89" spans="1:13" ht="90" x14ac:dyDescent="0.2">
      <c r="A89" s="136" t="s">
        <v>353</v>
      </c>
      <c r="B89" s="129" t="s">
        <v>640</v>
      </c>
      <c r="C89" s="291" t="s">
        <v>616</v>
      </c>
      <c r="D89" s="117">
        <f>ComprehensiveStrategicFinances!C115</f>
        <v>456249.76</v>
      </c>
      <c r="E89" s="304">
        <f>D89/$E$11</f>
        <v>3.5261521157361952E-3</v>
      </c>
      <c r="F89" s="312" t="s">
        <v>619</v>
      </c>
      <c r="G89" s="199">
        <f>ComprehensiveStrategicFinances!C255</f>
        <v>335225</v>
      </c>
      <c r="H89" s="321">
        <f>G89/$E$11</f>
        <v>2.5908054022815616E-3</v>
      </c>
      <c r="I89" s="130" t="s">
        <v>643</v>
      </c>
      <c r="J89" s="130" t="s">
        <v>615</v>
      </c>
      <c r="K89" s="131" t="s">
        <v>553</v>
      </c>
      <c r="L89" s="145" t="s">
        <v>398</v>
      </c>
      <c r="M89" s="131" t="s">
        <v>695</v>
      </c>
    </row>
    <row r="90" spans="1:13" ht="90" x14ac:dyDescent="0.2">
      <c r="A90" s="205" t="s">
        <v>354</v>
      </c>
      <c r="B90" s="212" t="s">
        <v>641</v>
      </c>
      <c r="C90" s="292" t="s">
        <v>617</v>
      </c>
      <c r="D90" s="213">
        <f>ComprehensiveStrategicFinances!C116</f>
        <v>131904.63999999998</v>
      </c>
      <c r="E90" s="305">
        <f>D90/$E$11</f>
        <v>1.0194324823566397E-3</v>
      </c>
      <c r="F90" s="313" t="s">
        <v>620</v>
      </c>
      <c r="G90" s="214">
        <f>ComprehensiveStrategicFinances!C256</f>
        <v>144325</v>
      </c>
      <c r="H90" s="321">
        <f>G90/$E$11</f>
        <v>1.1154239382035541E-3</v>
      </c>
      <c r="I90" s="195" t="s">
        <v>644</v>
      </c>
      <c r="J90" s="195" t="s">
        <v>615</v>
      </c>
      <c r="K90" s="215" t="s">
        <v>553</v>
      </c>
      <c r="L90" s="216" t="s">
        <v>398</v>
      </c>
      <c r="M90" s="215" t="s">
        <v>695</v>
      </c>
    </row>
    <row r="91" spans="1:13" x14ac:dyDescent="0.2">
      <c r="A91" s="419" t="s">
        <v>816</v>
      </c>
      <c r="B91" s="416"/>
      <c r="C91" s="416"/>
      <c r="D91" s="416"/>
      <c r="E91" s="416"/>
      <c r="F91" s="416"/>
      <c r="G91" s="416"/>
      <c r="H91" s="417"/>
      <c r="I91" s="417"/>
      <c r="J91" s="417"/>
      <c r="K91" s="417"/>
      <c r="L91" s="417"/>
      <c r="M91" s="418"/>
    </row>
    <row r="92" spans="1:13" ht="75" x14ac:dyDescent="0.2">
      <c r="A92" s="233" t="s">
        <v>355</v>
      </c>
      <c r="B92" s="234" t="s">
        <v>645</v>
      </c>
      <c r="C92" s="296" t="s">
        <v>519</v>
      </c>
      <c r="D92" s="235">
        <f>ComprehensiveStrategicFinances!C118</f>
        <v>1386039.2</v>
      </c>
      <c r="E92" s="306">
        <f>D92/$E$11</f>
        <v>1.0712082473365692E-2</v>
      </c>
      <c r="F92" s="314" t="s">
        <v>519</v>
      </c>
      <c r="G92" s="236">
        <f>ComprehensiveStrategicFinances!C258</f>
        <v>1556375</v>
      </c>
      <c r="H92" s="321">
        <f>G92/$E$11</f>
        <v>1.2028532352825612E-2</v>
      </c>
      <c r="I92" s="237" t="s">
        <v>646</v>
      </c>
      <c r="J92" s="237" t="s">
        <v>615</v>
      </c>
      <c r="K92" s="238" t="s">
        <v>552</v>
      </c>
      <c r="L92" s="239" t="s">
        <v>398</v>
      </c>
      <c r="M92" s="238" t="s">
        <v>696</v>
      </c>
    </row>
    <row r="93" spans="1:13" x14ac:dyDescent="0.2">
      <c r="A93" s="432" t="s">
        <v>815</v>
      </c>
      <c r="B93" s="416"/>
      <c r="C93" s="416"/>
      <c r="D93" s="416"/>
      <c r="E93" s="416"/>
      <c r="F93" s="416"/>
      <c r="G93" s="416"/>
      <c r="H93" s="417"/>
      <c r="I93" s="417"/>
      <c r="J93" s="417"/>
      <c r="K93" s="417"/>
      <c r="L93" s="417"/>
      <c r="M93" s="418"/>
    </row>
    <row r="94" spans="1:13" ht="75" x14ac:dyDescent="0.2">
      <c r="A94" s="233" t="s">
        <v>356</v>
      </c>
      <c r="B94" s="218" t="s">
        <v>772</v>
      </c>
      <c r="C94" s="290" t="s">
        <v>514</v>
      </c>
      <c r="D94" s="227">
        <f>ComprehensiveStrategicFinances!C120</f>
        <v>563024.55000000005</v>
      </c>
      <c r="E94" s="303">
        <f>D94/$E$11</f>
        <v>4.3513671288154089E-3</v>
      </c>
      <c r="F94" s="311" t="s">
        <v>514</v>
      </c>
      <c r="G94" s="228">
        <f>ComprehensiveStrategicFinances!C260</f>
        <v>667569.39</v>
      </c>
      <c r="H94" s="321">
        <f>G94/$E$11</f>
        <v>5.1593478469977088E-3</v>
      </c>
      <c r="I94" s="221" t="s">
        <v>774</v>
      </c>
      <c r="J94" s="222" t="s">
        <v>615</v>
      </c>
      <c r="K94" s="222" t="s">
        <v>554</v>
      </c>
      <c r="L94" s="223" t="s">
        <v>614</v>
      </c>
      <c r="M94" s="222" t="s">
        <v>622</v>
      </c>
    </row>
    <row r="95" spans="1:13" ht="150" x14ac:dyDescent="0.2">
      <c r="A95" s="136" t="s">
        <v>780</v>
      </c>
      <c r="B95" s="125" t="s">
        <v>781</v>
      </c>
      <c r="C95" s="291" t="s">
        <v>515</v>
      </c>
      <c r="D95" s="117">
        <f>ComprehensiveStrategicFinances!C121</f>
        <v>1656839.2</v>
      </c>
      <c r="E95" s="304">
        <f>D95/$E$11</f>
        <v>1.2804975613608355E-2</v>
      </c>
      <c r="F95" s="312" t="s">
        <v>516</v>
      </c>
      <c r="G95" s="199">
        <f>ComprehensiveStrategicFinances!C261</f>
        <v>1797617.6</v>
      </c>
      <c r="H95" s="321">
        <f>G95/$E$11</f>
        <v>1.3892989452804582E-2</v>
      </c>
      <c r="I95" s="137" t="s">
        <v>773</v>
      </c>
      <c r="J95" s="127" t="s">
        <v>615</v>
      </c>
      <c r="K95" s="127" t="s">
        <v>554</v>
      </c>
      <c r="L95" s="144" t="s">
        <v>614</v>
      </c>
      <c r="M95" s="127" t="s">
        <v>623</v>
      </c>
    </row>
    <row r="96" spans="1:13" x14ac:dyDescent="0.2">
      <c r="A96" s="331"/>
      <c r="B96" s="133"/>
      <c r="C96" s="297"/>
      <c r="D96" s="133"/>
      <c r="E96" s="308"/>
      <c r="F96" s="297"/>
      <c r="G96" s="133"/>
      <c r="H96" s="297"/>
      <c r="I96" s="133"/>
      <c r="J96" s="111"/>
      <c r="K96" s="111"/>
      <c r="L96" s="146"/>
      <c r="M96" s="111"/>
    </row>
    <row r="97" spans="1:13" ht="30" x14ac:dyDescent="0.2">
      <c r="A97" s="332" t="s">
        <v>161</v>
      </c>
      <c r="B97" s="123"/>
      <c r="C97" s="288"/>
      <c r="D97" s="124"/>
      <c r="E97" s="304"/>
      <c r="F97" s="281"/>
      <c r="G97" s="123"/>
      <c r="H97" s="325"/>
      <c r="I97" s="128"/>
      <c r="J97" s="124"/>
      <c r="K97" s="124"/>
      <c r="L97" s="143"/>
      <c r="M97" s="124"/>
    </row>
    <row r="98" spans="1:13" ht="15.75" thickBot="1" x14ac:dyDescent="0.25">
      <c r="A98" s="124" t="s">
        <v>766</v>
      </c>
      <c r="B98" s="129"/>
      <c r="C98" s="326"/>
      <c r="D98" s="327">
        <v>1835850</v>
      </c>
      <c r="E98" s="328"/>
      <c r="F98" s="326"/>
      <c r="G98" s="329"/>
      <c r="H98" s="330"/>
      <c r="I98" s="128"/>
      <c r="J98" s="124"/>
      <c r="K98" s="124"/>
      <c r="L98" s="143"/>
      <c r="M98" s="124"/>
    </row>
    <row r="100" spans="1:13" ht="45" x14ac:dyDescent="0.2">
      <c r="A100" s="134" t="s">
        <v>782</v>
      </c>
    </row>
  </sheetData>
  <mergeCells count="41">
    <mergeCell ref="C9:D9"/>
    <mergeCell ref="F9:G9"/>
    <mergeCell ref="C10:D10"/>
    <mergeCell ref="F10:G10"/>
    <mergeCell ref="A59:M59"/>
    <mergeCell ref="A34:M34"/>
    <mergeCell ref="A32:M32"/>
    <mergeCell ref="A35:M35"/>
    <mergeCell ref="A38:M38"/>
    <mergeCell ref="A45:M45"/>
    <mergeCell ref="A41:M41"/>
    <mergeCell ref="A46:M46"/>
    <mergeCell ref="A51:M51"/>
    <mergeCell ref="A55:M55"/>
    <mergeCell ref="A93:M93"/>
    <mergeCell ref="A66:M66"/>
    <mergeCell ref="A64:M64"/>
    <mergeCell ref="A67:M67"/>
    <mergeCell ref="A72:M72"/>
    <mergeCell ref="A75:M75"/>
    <mergeCell ref="A80:M80"/>
    <mergeCell ref="A81:M81"/>
    <mergeCell ref="A84:M84"/>
    <mergeCell ref="A87:M87"/>
    <mergeCell ref="A91:M91"/>
    <mergeCell ref="A5:I5"/>
    <mergeCell ref="A6:I6"/>
    <mergeCell ref="A30:M30"/>
    <mergeCell ref="A27:M27"/>
    <mergeCell ref="A25:M25"/>
    <mergeCell ref="A22:M22"/>
    <mergeCell ref="A18:M18"/>
    <mergeCell ref="C12:D12"/>
    <mergeCell ref="F11:G11"/>
    <mergeCell ref="F12:G12"/>
    <mergeCell ref="C15:E15"/>
    <mergeCell ref="F15:H15"/>
    <mergeCell ref="F8:H8"/>
    <mergeCell ref="C8:E8"/>
    <mergeCell ref="C11:D11"/>
    <mergeCell ref="A17:M17"/>
  </mergeCells>
  <conditionalFormatting sqref="A96">
    <cfRule type="expression" dxfId="84" priority="131" stopIfTrue="1">
      <formula>#REF!="O"</formula>
    </cfRule>
    <cfRule type="expression" dxfId="83" priority="132" stopIfTrue="1">
      <formula>#REF!="S"</formula>
    </cfRule>
  </conditionalFormatting>
  <conditionalFormatting sqref="A96">
    <cfRule type="expression" dxfId="82" priority="133">
      <formula>#REF!="O"</formula>
    </cfRule>
    <cfRule type="expression" dxfId="81" priority="134">
      <formula>#REF!="S"</formula>
    </cfRule>
    <cfRule type="expression" dxfId="80" priority="135">
      <formula>#REF!="G"</formula>
    </cfRule>
  </conditionalFormatting>
  <conditionalFormatting sqref="A34 A64 A45:A46 A66:A67 A72 A75 A80:A93 A49 A51 A55:A61">
    <cfRule type="expression" dxfId="79" priority="86" stopIfTrue="1">
      <formula>#REF!="O"</formula>
    </cfRule>
    <cfRule type="expression" dxfId="78" priority="87" stopIfTrue="1">
      <formula>#REF!="S"</formula>
    </cfRule>
  </conditionalFormatting>
  <conditionalFormatting sqref="A34 A64 A45:A46 A66:A67 A72 A75 A80:A93 A49 A51 A55:A61">
    <cfRule type="expression" dxfId="77" priority="88">
      <formula>#REF!="O"</formula>
    </cfRule>
    <cfRule type="expression" dxfId="76" priority="89">
      <formula>#REF!="S"</formula>
    </cfRule>
    <cfRule type="expression" dxfId="75" priority="90">
      <formula>#REF!="G"</formula>
    </cfRule>
  </conditionalFormatting>
  <conditionalFormatting sqref="A63">
    <cfRule type="expression" dxfId="74" priority="81" stopIfTrue="1">
      <formula>#REF!="O"</formula>
    </cfRule>
    <cfRule type="expression" dxfId="73" priority="82" stopIfTrue="1">
      <formula>#REF!="S"</formula>
    </cfRule>
  </conditionalFormatting>
  <conditionalFormatting sqref="A63">
    <cfRule type="expression" dxfId="72" priority="83">
      <formula>#REF!="O"</formula>
    </cfRule>
    <cfRule type="expression" dxfId="71" priority="84">
      <formula>#REF!="S"</formula>
    </cfRule>
    <cfRule type="expression" dxfId="70" priority="85">
      <formula>#REF!="G"</formula>
    </cfRule>
  </conditionalFormatting>
  <conditionalFormatting sqref="A38:A40">
    <cfRule type="expression" dxfId="69" priority="66" stopIfTrue="1">
      <formula>#REF!="O"</formula>
    </cfRule>
    <cfRule type="expression" dxfId="68" priority="67" stopIfTrue="1">
      <formula>#REF!="S"</formula>
    </cfRule>
  </conditionalFormatting>
  <conditionalFormatting sqref="A38:A40">
    <cfRule type="expression" dxfId="67" priority="68">
      <formula>#REF!="O"</formula>
    </cfRule>
    <cfRule type="expression" dxfId="66" priority="69">
      <formula>#REF!="S"</formula>
    </cfRule>
    <cfRule type="expression" dxfId="65" priority="70">
      <formula>#REF!="G"</formula>
    </cfRule>
  </conditionalFormatting>
  <conditionalFormatting sqref="A41:A44">
    <cfRule type="expression" dxfId="64" priority="61" stopIfTrue="1">
      <formula>#REF!="O"</formula>
    </cfRule>
    <cfRule type="expression" dxfId="63" priority="62" stopIfTrue="1">
      <formula>#REF!="S"</formula>
    </cfRule>
  </conditionalFormatting>
  <conditionalFormatting sqref="A41:A44">
    <cfRule type="expression" dxfId="62" priority="63">
      <formula>#REF!="O"</formula>
    </cfRule>
    <cfRule type="expression" dxfId="61" priority="64">
      <formula>#REF!="S"</formula>
    </cfRule>
    <cfRule type="expression" dxfId="60" priority="65">
      <formula>#REF!="G"</formula>
    </cfRule>
  </conditionalFormatting>
  <conditionalFormatting sqref="A35:A37">
    <cfRule type="expression" dxfId="59" priority="71" stopIfTrue="1">
      <formula>#REF!="O"</formula>
    </cfRule>
    <cfRule type="expression" dxfId="58" priority="72" stopIfTrue="1">
      <formula>#REF!="S"</formula>
    </cfRule>
  </conditionalFormatting>
  <conditionalFormatting sqref="A35:A37">
    <cfRule type="expression" dxfId="57" priority="73">
      <formula>#REF!="O"</formula>
    </cfRule>
    <cfRule type="expression" dxfId="56" priority="74">
      <formula>#REF!="S"</formula>
    </cfRule>
    <cfRule type="expression" dxfId="55" priority="75">
      <formula>#REF!="G"</formula>
    </cfRule>
  </conditionalFormatting>
  <conditionalFormatting sqref="A68:A71">
    <cfRule type="expression" dxfId="54" priority="51" stopIfTrue="1">
      <formula>#REF!="O"</formula>
    </cfRule>
    <cfRule type="expression" dxfId="53" priority="52" stopIfTrue="1">
      <formula>#REF!="S"</formula>
    </cfRule>
  </conditionalFormatting>
  <conditionalFormatting sqref="A68:A71">
    <cfRule type="expression" dxfId="52" priority="53">
      <formula>#REF!="O"</formula>
    </cfRule>
    <cfRule type="expression" dxfId="51" priority="54">
      <formula>#REF!="S"</formula>
    </cfRule>
    <cfRule type="expression" dxfId="50" priority="55">
      <formula>#REF!="G"</formula>
    </cfRule>
  </conditionalFormatting>
  <conditionalFormatting sqref="A73:A74">
    <cfRule type="expression" dxfId="49" priority="46" stopIfTrue="1">
      <formula>#REF!="O"</formula>
    </cfRule>
    <cfRule type="expression" dxfId="48" priority="47" stopIfTrue="1">
      <formula>#REF!="S"</formula>
    </cfRule>
  </conditionalFormatting>
  <conditionalFormatting sqref="A73:A74">
    <cfRule type="expression" dxfId="47" priority="48">
      <formula>#REF!="O"</formula>
    </cfRule>
    <cfRule type="expression" dxfId="46" priority="49">
      <formula>#REF!="S"</formula>
    </cfRule>
    <cfRule type="expression" dxfId="45" priority="50">
      <formula>#REF!="G"</formula>
    </cfRule>
  </conditionalFormatting>
  <conditionalFormatting sqref="A76:A78">
    <cfRule type="expression" dxfId="44" priority="41" stopIfTrue="1">
      <formula>#REF!="O"</formula>
    </cfRule>
    <cfRule type="expression" dxfId="43" priority="42" stopIfTrue="1">
      <formula>#REF!="S"</formula>
    </cfRule>
  </conditionalFormatting>
  <conditionalFormatting sqref="A76:A78">
    <cfRule type="expression" dxfId="42" priority="43">
      <formula>#REF!="O"</formula>
    </cfRule>
    <cfRule type="expression" dxfId="41" priority="44">
      <formula>#REF!="S"</formula>
    </cfRule>
    <cfRule type="expression" dxfId="40" priority="45">
      <formula>#REF!="G"</formula>
    </cfRule>
  </conditionalFormatting>
  <conditionalFormatting sqref="A79">
    <cfRule type="expression" dxfId="39" priority="36" stopIfTrue="1">
      <formula>#REF!="O"</formula>
    </cfRule>
    <cfRule type="expression" dxfId="38" priority="37" stopIfTrue="1">
      <formula>#REF!="S"</formula>
    </cfRule>
  </conditionalFormatting>
  <conditionalFormatting sqref="A79">
    <cfRule type="expression" dxfId="37" priority="38">
      <formula>#REF!="O"</formula>
    </cfRule>
    <cfRule type="expression" dxfId="36" priority="39">
      <formula>#REF!="S"</formula>
    </cfRule>
    <cfRule type="expression" dxfId="35" priority="40">
      <formula>#REF!="G"</formula>
    </cfRule>
  </conditionalFormatting>
  <conditionalFormatting sqref="A94:A95">
    <cfRule type="expression" dxfId="34" priority="31" stopIfTrue="1">
      <formula>#REF!="O"</formula>
    </cfRule>
    <cfRule type="expression" dxfId="33" priority="32" stopIfTrue="1">
      <formula>#REF!="S"</formula>
    </cfRule>
  </conditionalFormatting>
  <conditionalFormatting sqref="A94:A95">
    <cfRule type="expression" dxfId="32" priority="33">
      <formula>#REF!="O"</formula>
    </cfRule>
    <cfRule type="expression" dxfId="31" priority="34">
      <formula>#REF!="S"</formula>
    </cfRule>
    <cfRule type="expression" dxfId="30" priority="35">
      <formula>#REF!="G"</formula>
    </cfRule>
  </conditionalFormatting>
  <conditionalFormatting sqref="A47:A48">
    <cfRule type="expression" dxfId="29" priority="26" stopIfTrue="1">
      <formula>#REF!="O"</formula>
    </cfRule>
    <cfRule type="expression" dxfId="28" priority="27" stopIfTrue="1">
      <formula>#REF!="S"</formula>
    </cfRule>
  </conditionalFormatting>
  <conditionalFormatting sqref="A47:A48">
    <cfRule type="expression" dxfId="27" priority="28">
      <formula>#REF!="O"</formula>
    </cfRule>
    <cfRule type="expression" dxfId="26" priority="29">
      <formula>#REF!="S"</formula>
    </cfRule>
    <cfRule type="expression" dxfId="25" priority="30">
      <formula>#REF!="G"</formula>
    </cfRule>
  </conditionalFormatting>
  <conditionalFormatting sqref="A50">
    <cfRule type="expression" dxfId="24" priority="21" stopIfTrue="1">
      <formula>#REF!="O"</formula>
    </cfRule>
    <cfRule type="expression" dxfId="23" priority="22" stopIfTrue="1">
      <formula>#REF!="S"</formula>
    </cfRule>
  </conditionalFormatting>
  <conditionalFormatting sqref="A50">
    <cfRule type="expression" dxfId="22" priority="23">
      <formula>#REF!="O"</formula>
    </cfRule>
    <cfRule type="expression" dxfId="21" priority="24">
      <formula>#REF!="S"</formula>
    </cfRule>
    <cfRule type="expression" dxfId="20" priority="25">
      <formula>#REF!="G"</formula>
    </cfRule>
  </conditionalFormatting>
  <conditionalFormatting sqref="A52:A54">
    <cfRule type="expression" dxfId="19" priority="16" stopIfTrue="1">
      <formula>#REF!="O"</formula>
    </cfRule>
    <cfRule type="expression" dxfId="18" priority="17" stopIfTrue="1">
      <formula>#REF!="S"</formula>
    </cfRule>
  </conditionalFormatting>
  <conditionalFormatting sqref="A52:A54">
    <cfRule type="expression" dxfId="17" priority="18">
      <formula>#REF!="O"</formula>
    </cfRule>
    <cfRule type="expression" dxfId="16" priority="19">
      <formula>#REF!="S"</formula>
    </cfRule>
    <cfRule type="expression" dxfId="15" priority="20">
      <formula>#REF!="G"</formula>
    </cfRule>
  </conditionalFormatting>
  <conditionalFormatting sqref="A62">
    <cfRule type="expression" dxfId="14" priority="11" stopIfTrue="1">
      <formula>#REF!="O"</formula>
    </cfRule>
    <cfRule type="expression" dxfId="13" priority="12" stopIfTrue="1">
      <formula>#REF!="S"</formula>
    </cfRule>
  </conditionalFormatting>
  <conditionalFormatting sqref="A62">
    <cfRule type="expression" dxfId="12" priority="13">
      <formula>#REF!="O"</formula>
    </cfRule>
    <cfRule type="expression" dxfId="11" priority="14">
      <formula>#REF!="S"</formula>
    </cfRule>
    <cfRule type="expression" dxfId="10" priority="15">
      <formula>#REF!="G"</formula>
    </cfRule>
  </conditionalFormatting>
  <conditionalFormatting sqref="A65">
    <cfRule type="expression" dxfId="9" priority="6" stopIfTrue="1">
      <formula>#REF!="O"</formula>
    </cfRule>
    <cfRule type="expression" dxfId="8" priority="7" stopIfTrue="1">
      <formula>#REF!="S"</formula>
    </cfRule>
  </conditionalFormatting>
  <conditionalFormatting sqref="A65">
    <cfRule type="expression" dxfId="7" priority="8">
      <formula>#REF!="O"</formula>
    </cfRule>
    <cfRule type="expression" dxfId="6" priority="9">
      <formula>#REF!="S"</formula>
    </cfRule>
    <cfRule type="expression" dxfId="5" priority="10">
      <formula>#REF!="G"</formula>
    </cfRule>
  </conditionalFormatting>
  <conditionalFormatting sqref="A28">
    <cfRule type="expression" dxfId="4" priority="1" stopIfTrue="1">
      <formula>#REF!="O"</formula>
    </cfRule>
    <cfRule type="expression" dxfId="3" priority="2" stopIfTrue="1">
      <formula>#REF!="S"</formula>
    </cfRule>
  </conditionalFormatting>
  <conditionalFormatting sqref="A28">
    <cfRule type="expression" dxfId="2" priority="3">
      <formula>#REF!="O"</formula>
    </cfRule>
    <cfRule type="expression" dxfId="1" priority="4">
      <formula>#REF!="S"</formula>
    </cfRule>
    <cfRule type="expression" dxfId="0" priority="5">
      <formula>#REF!="G"</formula>
    </cfRule>
  </conditionalFormatting>
  <pageMargins left="0.25" right="0.25" top="0.5" bottom="0.5" header="0.3" footer="0.3"/>
  <pageSetup paperSize="5" scale="65" fitToHeight="0" orientation="landscape" r:id="rId1"/>
  <headerFooter>
    <oddHeader>&amp;LPER&amp;C&amp;"Arial,Bold"&amp;14&amp;UComprehensive Strategic Plan Summary
&amp;"Arial,Regular"&amp;12&amp;U(Study Step 1: Agency Legal Directives, Plan and Resources; and Study Step 2: Performance)</oddHeader>
    <oddFooter>&amp;LThe contents of this chart are considered sworn testimony from the Agency Director.</oddFooter>
  </headerFooter>
  <rowBreaks count="10" manualBreakCount="10">
    <brk id="21" max="16383" man="1"/>
    <brk id="29" max="16383" man="1"/>
    <brk id="33" max="16383" man="1"/>
    <brk id="40" max="16383" man="1"/>
    <brk id="44" max="16383" man="1"/>
    <brk id="54" max="16383" man="1"/>
    <brk id="65" max="16383" man="1"/>
    <brk id="74" max="16383" man="1"/>
    <brk id="79"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34"/>
  <sheetViews>
    <sheetView workbookViewId="0">
      <selection activeCell="A8" sqref="A8"/>
    </sheetView>
  </sheetViews>
  <sheetFormatPr defaultColWidth="9.140625" defaultRowHeight="12.75" x14ac:dyDescent="0.2"/>
  <cols>
    <col min="1" max="1" width="52.5703125" style="1" customWidth="1"/>
    <col min="2" max="16384" width="9.140625" style="1"/>
  </cols>
  <sheetData>
    <row r="5" spans="1:1" x14ac:dyDescent="0.2">
      <c r="A5" s="1" t="s">
        <v>20</v>
      </c>
    </row>
    <row r="6" spans="1:1" x14ac:dyDescent="0.2">
      <c r="A6" s="1" t="s">
        <v>21</v>
      </c>
    </row>
    <row r="7" spans="1:1" x14ac:dyDescent="0.2">
      <c r="A7" s="1" t="s">
        <v>22</v>
      </c>
    </row>
    <row r="10" spans="1:1" x14ac:dyDescent="0.2">
      <c r="A10" s="1" t="s">
        <v>17</v>
      </c>
    </row>
    <row r="11" spans="1:1" x14ac:dyDescent="0.2">
      <c r="A11" s="1" t="s">
        <v>18</v>
      </c>
    </row>
    <row r="12" spans="1:1" x14ac:dyDescent="0.2">
      <c r="A12" s="1" t="s">
        <v>19</v>
      </c>
    </row>
    <row r="15" spans="1:1" x14ac:dyDescent="0.2">
      <c r="A15" s="2" t="s">
        <v>12</v>
      </c>
    </row>
    <row r="16" spans="1:1" x14ac:dyDescent="0.2">
      <c r="A16" s="1" t="s">
        <v>13</v>
      </c>
    </row>
    <row r="17" spans="1:1" x14ac:dyDescent="0.2">
      <c r="A17" s="1" t="s">
        <v>14</v>
      </c>
    </row>
    <row r="18" spans="1:1" x14ac:dyDescent="0.2">
      <c r="A18" s="1" t="s">
        <v>15</v>
      </c>
    </row>
    <row r="23" spans="1:1" x14ac:dyDescent="0.2">
      <c r="A23" s="2" t="s">
        <v>6</v>
      </c>
    </row>
    <row r="24" spans="1:1" x14ac:dyDescent="0.2">
      <c r="A24" s="1" t="s">
        <v>7</v>
      </c>
    </row>
    <row r="25" spans="1:1" x14ac:dyDescent="0.2">
      <c r="A25" s="1" t="s">
        <v>8</v>
      </c>
    </row>
    <row r="26" spans="1:1" x14ac:dyDescent="0.2">
      <c r="A26" s="1" t="s">
        <v>9</v>
      </c>
    </row>
    <row r="27" spans="1:1" x14ac:dyDescent="0.2">
      <c r="A27" s="1" t="s">
        <v>10</v>
      </c>
    </row>
    <row r="28" spans="1:1" x14ac:dyDescent="0.2">
      <c r="A28" s="1" t="s">
        <v>11</v>
      </c>
    </row>
    <row r="30" spans="1:1" x14ac:dyDescent="0.2">
      <c r="A30" s="2" t="s">
        <v>2</v>
      </c>
    </row>
    <row r="31" spans="1:1" x14ac:dyDescent="0.2">
      <c r="A31" s="1" t="s">
        <v>3</v>
      </c>
    </row>
    <row r="32" spans="1:1" x14ac:dyDescent="0.2">
      <c r="A32" s="1" t="s">
        <v>4</v>
      </c>
    </row>
    <row r="33" spans="1:1" x14ac:dyDescent="0.2">
      <c r="A33" s="1" t="s">
        <v>5</v>
      </c>
    </row>
    <row r="34" spans="1:1" x14ac:dyDescent="0.2">
      <c r="A34" s="1" t="s">
        <v>16</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ComprehensiveStrategicFinances</vt:lpstr>
      <vt:lpstr>Strategic Plan Summary</vt:lpstr>
      <vt:lpstr>Drop Down Options</vt:lpstr>
      <vt:lpstr>AgencyName</vt:lpstr>
      <vt:lpstr>Eval</vt:lpstr>
      <vt:lpstr>PartnerEntityType</vt:lpstr>
      <vt:lpstr>'Strategic Plan Summary'!Print_Titles</vt:lpstr>
      <vt:lpstr>TypeofMeasure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2017-09-21T19:47:59Z</dcterms:modified>
</cp:coreProperties>
</file>